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\GitHub - DK-BioRES\"/>
    </mc:Choice>
  </mc:AlternateContent>
  <xr:revisionPtr revIDLastSave="0" documentId="13_ncr:1_{42F6DA29-44CF-4710-BF9A-352FDFBF1234}" xr6:coauthVersionLast="47" xr6:coauthVersionMax="47" xr10:uidLastSave="{00000000-0000-0000-0000-000000000000}"/>
  <bookViews>
    <workbookView minimized="1" xWindow="3700" yWindow="1650" windowWidth="14400" windowHeight="8260" tabRatio="945" activeTab="1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6514" r:id="rId37"/>
    <pivotCache cacheId="6518" r:id="rId38"/>
    <pivotCache cacheId="6523" r:id="rId39"/>
    <pivotCache cacheId="6528" r:id="rId40"/>
    <pivotCache cacheId="6534" r:id="rId41"/>
    <pivotCache cacheId="6539" r:id="rId42"/>
    <pivotCache cacheId="6544" r:id="rId43"/>
    <pivotCache cacheId="6549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6" l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85" i="38"/>
  <c r="D215" i="38"/>
  <c r="D248" i="38"/>
  <c r="D249" i="38"/>
  <c r="D250" i="38"/>
  <c r="D251" i="38"/>
  <c r="D255" i="38"/>
  <c r="D258" i="38"/>
  <c r="D260" i="38"/>
  <c r="D261" i="38"/>
  <c r="D262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B22" i="6"/>
  <c r="D22" i="6" s="1"/>
  <c r="C31" i="6"/>
  <c r="C18" i="6"/>
  <c r="C19" i="6"/>
  <c r="C20" i="6"/>
  <c r="C28" i="6"/>
  <c r="C29" i="6"/>
  <c r="C30" i="6"/>
  <c r="C14" i="6"/>
  <c r="D14" i="6" s="1"/>
  <c r="D31" i="6"/>
  <c r="D18" i="6"/>
  <c r="D19" i="6"/>
  <c r="D20" i="6"/>
  <c r="D28" i="6"/>
  <c r="D29" i="6"/>
  <c r="D30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A248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G13" i="32"/>
  <c r="F13" i="32"/>
  <c r="C11" i="32"/>
  <c r="F47" i="26"/>
  <c r="C47" i="26"/>
  <c r="F11" i="32"/>
  <c r="C22" i="6" l="1"/>
  <c r="C23" i="6"/>
  <c r="D27" i="6"/>
  <c r="D25" i="6"/>
  <c r="B26" i="6"/>
  <c r="C24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I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C200" i="38"/>
  <c r="D33" i="34"/>
  <c r="C190" i="38"/>
  <c r="C193" i="38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B32" i="6" l="1"/>
  <c r="B12" i="6"/>
  <c r="D32" i="6"/>
  <c r="C32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G7" i="6"/>
  <c r="E20" i="38"/>
  <c r="D53" i="39"/>
  <c r="E117" i="38" s="1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G5" i="6"/>
  <c r="E34" i="38"/>
  <c r="G8" i="6"/>
  <c r="E35" i="38"/>
  <c r="G6" i="6"/>
  <c r="E31" i="38"/>
  <c r="I5" i="6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F28" i="34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R189" i="38" l="1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F12" i="39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G12" i="39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G14" i="39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E342" i="38"/>
  <c r="E348" i="38"/>
  <c r="M260" i="66" s="1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F14" i="39"/>
  <c r="W175" i="66"/>
  <c r="R175" i="66"/>
  <c r="S175" i="66"/>
  <c r="P175" i="66"/>
  <c r="V175" i="66" s="1"/>
  <c r="E16" i="39" l="1"/>
  <c r="C21" i="8"/>
  <c r="J249" i="66"/>
  <c r="D21" i="8"/>
  <c r="J201" i="66"/>
  <c r="D16" i="39"/>
  <c r="F16" i="39" s="1"/>
  <c r="N11" i="66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G13" i="39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G16" i="39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F13" i="39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N155" i="66"/>
  <c r="L68" i="66"/>
  <c r="P68" i="66" s="1"/>
  <c r="F284" i="66"/>
  <c r="M42" i="39"/>
  <c r="E174" i="38" s="1"/>
  <c r="O155" i="66" l="1"/>
  <c r="Q155" i="66" s="1"/>
  <c r="P249" i="66"/>
  <c r="S249" i="66"/>
  <c r="W249" i="66"/>
  <c r="N171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Z11" i="66"/>
  <c r="E351" i="38"/>
  <c r="K27" i="66" s="1"/>
  <c r="H454" i="41"/>
  <c r="Y155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Z204" i="66"/>
  <c r="Z60" i="66"/>
  <c r="Y204" i="66"/>
  <c r="Y60" i="66"/>
  <c r="X11" i="66"/>
  <c r="Z108" i="66"/>
  <c r="Z252" i="66"/>
  <c r="Y108" i="66"/>
  <c r="Y252" i="66"/>
  <c r="J439" i="41"/>
  <c r="Y11" i="66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F19" i="39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G19" i="39"/>
  <c r="N116" i="66"/>
  <c r="P116" i="66"/>
  <c r="Z155" i="66"/>
  <c r="U155" i="66" l="1"/>
  <c r="J153" i="66"/>
  <c r="R153" i="66" s="1"/>
  <c r="P16" i="39"/>
  <c r="Q16" i="39" s="1"/>
  <c r="H456" i="41"/>
  <c r="J262" i="66"/>
  <c r="N262" i="66" s="1"/>
  <c r="J214" i="66"/>
  <c r="N214" i="66" s="1"/>
  <c r="H437" i="41"/>
  <c r="C36" i="63"/>
  <c r="N45" i="66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N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N9" i="66"/>
  <c r="E125" i="38"/>
  <c r="Z284" i="66"/>
  <c r="Y140" i="66"/>
  <c r="O140" i="66"/>
  <c r="Y284" i="66"/>
  <c r="Z140" i="66"/>
  <c r="E108" i="38"/>
  <c r="Q11" i="66"/>
  <c r="U11" i="66"/>
  <c r="S45" i="66"/>
  <c r="P45" i="66"/>
  <c r="V45" i="66" s="1"/>
  <c r="W45" i="66"/>
  <c r="R45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N153" i="66" l="1"/>
  <c r="O153" i="66" s="1"/>
  <c r="S153" i="66"/>
  <c r="T153" i="66" s="1"/>
  <c r="W153" i="66"/>
  <c r="P153" i="66"/>
  <c r="V153" i="66" s="1"/>
  <c r="N68" i="66"/>
  <c r="N164" i="66"/>
  <c r="P262" i="66"/>
  <c r="S262" i="66"/>
  <c r="W262" i="66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153" i="66" l="1"/>
  <c r="O9" i="66"/>
  <c r="U9" i="66" s="1"/>
  <c r="Y9" i="66"/>
  <c r="Y153" i="66"/>
  <c r="Z9" i="66"/>
  <c r="X153" i="66"/>
  <c r="Z164" i="66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U189" i="66"/>
  <c r="U45" i="66"/>
  <c r="P118" i="66"/>
  <c r="W118" i="66"/>
  <c r="S118" i="66"/>
  <c r="N118" i="66"/>
  <c r="U171" i="66"/>
  <c r="Q171" i="66"/>
  <c r="Q27" i="66"/>
  <c r="U27" i="66"/>
  <c r="U153" i="66"/>
  <c r="Q153" i="66"/>
  <c r="P70" i="66"/>
  <c r="W70" i="66"/>
  <c r="S70" i="66"/>
  <c r="N70" i="66"/>
  <c r="Q9" i="66" l="1"/>
  <c r="U164" i="66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Z118" i="66"/>
  <c r="O118" i="66"/>
  <c r="Y118" i="66"/>
  <c r="Z262" i="66"/>
  <c r="Y262" i="66"/>
  <c r="O262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P29" i="9" a="1"/>
  <c r="P29" i="9" s="1"/>
  <c r="E36" i="22" s="1"/>
  <c r="R27" i="9" a="1"/>
  <c r="R27" i="9" s="1"/>
  <c r="R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44" i="22" l="1"/>
  <c r="E30" i="26"/>
  <c r="E34" i="26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Q10" i="9" l="1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F166" i="66" l="1"/>
  <c r="K46" i="39"/>
  <c r="E142" i="38" s="1"/>
  <c r="H417" i="41"/>
  <c r="H409" i="41"/>
  <c r="F22" i="66"/>
  <c r="C46" i="39"/>
  <c r="E91" i="38" s="1"/>
  <c r="H413" i="41"/>
  <c r="J22" i="66" l="1"/>
  <c r="J166" i="66"/>
  <c r="C16" i="34"/>
  <c r="I429" i="41"/>
  <c r="H445" i="37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E269" i="38"/>
  <c r="H448" i="58"/>
  <c r="H448" i="37"/>
  <c r="H438" i="58"/>
  <c r="H438" i="37"/>
  <c r="E242" i="38"/>
  <c r="E197" i="38"/>
  <c r="E189" i="38"/>
  <c r="E234" i="38"/>
  <c r="I440" i="37"/>
  <c r="I440" i="58"/>
  <c r="E261" i="38"/>
  <c r="E216" i="38"/>
  <c r="E255" i="38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H63" i="58" s="1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I15" i="37" s="1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196" i="38"/>
  <c r="E241" i="38"/>
  <c r="E188" i="38"/>
  <c r="E233" i="38"/>
  <c r="I438" i="58"/>
  <c r="I438" i="37"/>
  <c r="E257" i="38"/>
  <c r="E212" i="38"/>
  <c r="H63" i="37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E222" i="38"/>
  <c r="H451" i="37"/>
  <c r="H451" i="58"/>
  <c r="H446" i="37"/>
  <c r="H446" i="58"/>
  <c r="E240" i="38"/>
  <c r="E195" i="38"/>
  <c r="I436" i="37"/>
  <c r="I436" i="58"/>
  <c r="E260" i="38"/>
  <c r="E215" i="38"/>
  <c r="I430" i="41"/>
  <c r="E203" i="38"/>
  <c r="E248" i="38"/>
  <c r="E245" i="38"/>
  <c r="E200" i="38"/>
  <c r="I163" i="58"/>
  <c r="I163" i="37"/>
  <c r="I59" i="37"/>
  <c r="I47" i="58"/>
  <c r="I35" i="37"/>
  <c r="I35" i="58"/>
  <c r="I23" i="37"/>
  <c r="J63" i="37"/>
  <c r="S166" i="66"/>
  <c r="P166" i="66"/>
  <c r="V166" i="66" s="1"/>
  <c r="R166" i="66"/>
  <c r="W166" i="66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E228" i="38"/>
  <c r="E220" i="38"/>
  <c r="E265" i="38"/>
  <c r="E193" i="38"/>
  <c r="E238" i="38"/>
  <c r="E32" i="34"/>
  <c r="C19" i="34"/>
  <c r="J67" i="58"/>
  <c r="J67" i="37"/>
  <c r="J43" i="37"/>
  <c r="J19" i="58"/>
  <c r="J19" i="37"/>
  <c r="I55" i="37"/>
  <c r="I31" i="58"/>
  <c r="H163" i="58"/>
  <c r="H163" i="37"/>
  <c r="H71" i="58"/>
  <c r="H59" i="37"/>
  <c r="H47" i="58"/>
  <c r="H35" i="37"/>
  <c r="H35" i="41" s="1"/>
  <c r="H23" i="37"/>
  <c r="J39" i="37"/>
  <c r="H445" i="58"/>
  <c r="H445" i="41" s="1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8" i="58"/>
  <c r="J448" i="37"/>
  <c r="J440" i="58"/>
  <c r="J440" i="37"/>
  <c r="E266" i="38"/>
  <c r="E221" i="38"/>
  <c r="E239" i="38"/>
  <c r="E194" i="38"/>
  <c r="E207" i="38"/>
  <c r="E252" i="38"/>
  <c r="J22" i="58"/>
  <c r="J33" i="58"/>
  <c r="J33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58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E202" i="38"/>
  <c r="E192" i="38"/>
  <c r="E237" i="38"/>
  <c r="E217" i="38"/>
  <c r="E262" i="38"/>
  <c r="E213" i="38"/>
  <c r="E258" i="38"/>
  <c r="E256" i="38"/>
  <c r="E211" i="38"/>
  <c r="H67" i="58"/>
  <c r="H67" i="37"/>
  <c r="H55" i="37"/>
  <c r="H43" i="37"/>
  <c r="H31" i="58"/>
  <c r="H19" i="58"/>
  <c r="H19" i="37"/>
  <c r="H162" i="58"/>
  <c r="H162" i="37"/>
  <c r="I66" i="58"/>
  <c r="I54" i="58"/>
  <c r="I42" i="37"/>
  <c r="I30" i="37"/>
  <c r="H69" i="58"/>
  <c r="H45" i="58"/>
  <c r="H45" i="37"/>
  <c r="H33" i="37"/>
  <c r="H33" i="58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I448" i="58"/>
  <c r="I448" i="37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N237" i="66" s="1"/>
  <c r="I455" i="58"/>
  <c r="E376" i="38" s="1"/>
  <c r="K203" i="66" s="1"/>
  <c r="N203" i="66" s="1"/>
  <c r="I455" i="37"/>
  <c r="I454" i="58"/>
  <c r="E375" i="38" s="1"/>
  <c r="K219" i="66" s="1"/>
  <c r="N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I445" i="58"/>
  <c r="I445" i="37"/>
  <c r="J445" i="58"/>
  <c r="J445" i="37"/>
  <c r="E271" i="38"/>
  <c r="E226" i="38"/>
  <c r="E218" i="38"/>
  <c r="E263" i="38"/>
  <c r="H441" i="37"/>
  <c r="H441" i="58"/>
  <c r="E201" i="38"/>
  <c r="E246" i="38"/>
  <c r="E191" i="38"/>
  <c r="E236" i="38"/>
  <c r="E204" i="38"/>
  <c r="E249" i="38"/>
  <c r="E199" i="38"/>
  <c r="E244" i="38"/>
  <c r="J61" i="37"/>
  <c r="J61" i="58"/>
  <c r="J37" i="58"/>
  <c r="J37" i="37"/>
  <c r="I49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N22" i="66"/>
  <c r="R22" i="66"/>
  <c r="W22" i="66"/>
  <c r="P22" i="66"/>
  <c r="V22" i="66" s="1"/>
  <c r="S22" i="66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E209" i="38"/>
  <c r="E250" i="38"/>
  <c r="E205" i="38"/>
  <c r="J46" i="37"/>
  <c r="J46" i="58"/>
  <c r="I58" i="37"/>
  <c r="I58" i="58"/>
  <c r="H58" i="37"/>
  <c r="H58" i="58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E225" i="38"/>
  <c r="H440" i="58"/>
  <c r="H440" i="37"/>
  <c r="E243" i="38"/>
  <c r="E198" i="38"/>
  <c r="E235" i="38"/>
  <c r="E190" i="38"/>
  <c r="I441" i="37"/>
  <c r="I441" i="58"/>
  <c r="E253" i="38"/>
  <c r="E208" i="38"/>
  <c r="E251" i="38"/>
  <c r="E206" i="38"/>
  <c r="J58" i="37"/>
  <c r="J58" i="58"/>
  <c r="J34" i="58"/>
  <c r="I70" i="37"/>
  <c r="I70" i="58"/>
  <c r="I46" i="58"/>
  <c r="I22" i="58"/>
  <c r="H64" i="37"/>
  <c r="H28" i="37"/>
  <c r="I63" i="37"/>
  <c r="I51" i="37"/>
  <c r="I51" i="58"/>
  <c r="I39" i="37"/>
  <c r="I39" i="58"/>
  <c r="I27" i="37"/>
  <c r="I15" i="58"/>
  <c r="H66" i="58"/>
  <c r="H54" i="58"/>
  <c r="H54" i="37"/>
  <c r="H42" i="37"/>
  <c r="H30" i="37"/>
  <c r="H18" i="37"/>
  <c r="H18" i="58"/>
  <c r="J65" i="58"/>
  <c r="J65" i="37"/>
  <c r="J47" i="58"/>
  <c r="J42" i="37"/>
  <c r="J26" i="58"/>
  <c r="J26" i="37"/>
  <c r="J24" i="58"/>
  <c r="J21" i="37"/>
  <c r="J21" i="58"/>
  <c r="J18" i="58"/>
  <c r="J18" i="37"/>
  <c r="J15" i="37"/>
  <c r="J15" i="58"/>
  <c r="N166" i="66"/>
  <c r="D16" i="34"/>
  <c r="D19" i="34" s="1"/>
  <c r="H31" i="37" l="1"/>
  <c r="J63" i="58"/>
  <c r="J47" i="37"/>
  <c r="J47" i="41" s="1"/>
  <c r="I22" i="37"/>
  <c r="I22" i="41" s="1"/>
  <c r="I31" i="37"/>
  <c r="H72" i="37"/>
  <c r="I72" i="37"/>
  <c r="I72" i="41" s="1"/>
  <c r="I25" i="37"/>
  <c r="H47" i="37"/>
  <c r="H47" i="41" s="1"/>
  <c r="H22" i="37"/>
  <c r="H22" i="41" s="1"/>
  <c r="I45" i="37"/>
  <c r="I63" i="58"/>
  <c r="I63" i="41" s="1"/>
  <c r="J34" i="37"/>
  <c r="J34" i="41" s="1"/>
  <c r="H40" i="58"/>
  <c r="H40" i="37"/>
  <c r="J38" i="37"/>
  <c r="I34" i="37"/>
  <c r="I47" i="37"/>
  <c r="I47" i="41" s="1"/>
  <c r="J22" i="37"/>
  <c r="J22" i="41" s="1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J70" i="58"/>
  <c r="J70" i="41" s="1"/>
  <c r="J39" i="58"/>
  <c r="J39" i="41" s="1"/>
  <c r="H62" i="37"/>
  <c r="I16" i="37"/>
  <c r="J30" i="37"/>
  <c r="I25" i="58"/>
  <c r="I18" i="37"/>
  <c r="I18" i="41" s="1"/>
  <c r="J40" i="58"/>
  <c r="I55" i="58"/>
  <c r="I55" i="41" s="1"/>
  <c r="H62" i="58"/>
  <c r="I71" i="37"/>
  <c r="I71" i="41" s="1"/>
  <c r="J52" i="58"/>
  <c r="J35" i="37"/>
  <c r="I30" i="58"/>
  <c r="I30" i="41" s="1"/>
  <c r="I69" i="37"/>
  <c r="I69" i="41" s="1"/>
  <c r="J62" i="37"/>
  <c r="H71" i="37"/>
  <c r="H71" i="41" s="1"/>
  <c r="H17" i="37"/>
  <c r="H17" i="41" s="1"/>
  <c r="J24" i="37"/>
  <c r="J24" i="41" s="1"/>
  <c r="I41" i="37"/>
  <c r="J62" i="58"/>
  <c r="I20" i="58"/>
  <c r="I23" i="58"/>
  <c r="I23" i="41" s="1"/>
  <c r="J71" i="41"/>
  <c r="H162" i="41"/>
  <c r="H67" i="41"/>
  <c r="J65" i="41"/>
  <c r="H18" i="41"/>
  <c r="I448" i="41"/>
  <c r="J440" i="41"/>
  <c r="H19" i="41"/>
  <c r="J448" i="41"/>
  <c r="H39" i="41"/>
  <c r="H63" i="41"/>
  <c r="I15" i="41"/>
  <c r="X22" i="66"/>
  <c r="J37" i="41"/>
  <c r="I39" i="41"/>
  <c r="H441" i="41"/>
  <c r="J15" i="41"/>
  <c r="J61" i="41"/>
  <c r="I446" i="41"/>
  <c r="I35" i="41"/>
  <c r="I436" i="41"/>
  <c r="H58" i="41"/>
  <c r="J63" i="41"/>
  <c r="H45" i="41"/>
  <c r="H23" i="41"/>
  <c r="H51" i="41"/>
  <c r="H450" i="41"/>
  <c r="J67" i="41"/>
  <c r="H55" i="41"/>
  <c r="J73" i="41"/>
  <c r="J33" i="41"/>
  <c r="I31" i="41"/>
  <c r="J58" i="41"/>
  <c r="I58" i="41"/>
  <c r="J54" i="41"/>
  <c r="I29" i="41"/>
  <c r="J436" i="41"/>
  <c r="J51" i="41"/>
  <c r="J447" i="41"/>
  <c r="I163" i="41"/>
  <c r="J450" i="41"/>
  <c r="H448" i="41"/>
  <c r="O166" i="66"/>
  <c r="U166" i="66" s="1"/>
  <c r="H440" i="41"/>
  <c r="H33" i="41"/>
  <c r="H46" i="41"/>
  <c r="T166" i="66"/>
  <c r="I313" i="58"/>
  <c r="I313" i="37"/>
  <c r="G10" i="66"/>
  <c r="H429" i="37"/>
  <c r="G112" i="66"/>
  <c r="J427" i="37"/>
  <c r="J428" i="37"/>
  <c r="G124" i="66"/>
  <c r="N124" i="66" s="1"/>
  <c r="I425" i="58"/>
  <c r="G239" i="66"/>
  <c r="N239" i="66" s="1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J445" i="41"/>
  <c r="I455" i="41"/>
  <c r="E358" i="38"/>
  <c r="K59" i="66" s="1"/>
  <c r="N59" i="66" s="1"/>
  <c r="O203" i="66" s="1"/>
  <c r="J48" i="58"/>
  <c r="I52" i="37"/>
  <c r="I52" i="41" s="1"/>
  <c r="G223" i="66"/>
  <c r="N223" i="66" s="1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N220" i="66" s="1"/>
  <c r="I428" i="58"/>
  <c r="G259" i="66"/>
  <c r="J419" i="58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I445" i="41"/>
  <c r="H73" i="37"/>
  <c r="H73" i="41" s="1"/>
  <c r="J56" i="58"/>
  <c r="J50" i="58"/>
  <c r="J16" i="58"/>
  <c r="G76" i="66"/>
  <c r="N76" i="66" s="1"/>
  <c r="I428" i="37"/>
  <c r="G115" i="66"/>
  <c r="J419" i="37"/>
  <c r="J421" i="58"/>
  <c r="G244" i="66"/>
  <c r="G120" i="66"/>
  <c r="J420" i="37"/>
  <c r="H36" i="58"/>
  <c r="H50" i="37"/>
  <c r="H50" i="41" s="1"/>
  <c r="G217" i="66"/>
  <c r="I418" i="58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G77" i="66"/>
  <c r="I423" i="37"/>
  <c r="H24" i="37"/>
  <c r="H24" i="41" s="1"/>
  <c r="J46" i="41"/>
  <c r="I419" i="58"/>
  <c r="G211" i="66"/>
  <c r="G265" i="66"/>
  <c r="J418" i="58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0" i="37"/>
  <c r="G69" i="66"/>
  <c r="N69" i="66" s="1"/>
  <c r="I432" i="37"/>
  <c r="G256" i="66"/>
  <c r="J427" i="58"/>
  <c r="I20" i="37"/>
  <c r="G268" i="66"/>
  <c r="N268" i="66" s="1"/>
  <c r="J428" i="58"/>
  <c r="H72" i="58"/>
  <c r="X166" i="66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N91" i="66" s="1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J418" i="37"/>
  <c r="G121" i="66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N235" i="66" s="1"/>
  <c r="I431" i="58"/>
  <c r="H428" i="58"/>
  <c r="G172" i="66"/>
  <c r="N172" i="66" s="1"/>
  <c r="I453" i="41"/>
  <c r="E356" i="38"/>
  <c r="K93" i="66" s="1"/>
  <c r="N93" i="66" s="1"/>
  <c r="O237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T22" i="66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E36" i="34"/>
  <c r="E214" i="38"/>
  <c r="F32" i="34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N213" i="66" s="1"/>
  <c r="I432" i="58"/>
  <c r="I57" i="37"/>
  <c r="I57" i="41" s="1"/>
  <c r="G57" i="41"/>
  <c r="I73" i="37"/>
  <c r="I73" i="41" s="1"/>
  <c r="G73" i="66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Z166" i="66"/>
  <c r="Z22" i="66"/>
  <c r="O22" i="66"/>
  <c r="Y22" i="66"/>
  <c r="Y166" i="66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64" i="41" s="1"/>
  <c r="I438" i="41"/>
  <c r="H447" i="41"/>
  <c r="I450" i="41"/>
  <c r="H41" i="37"/>
  <c r="H41" i="41" s="1"/>
  <c r="I26" i="58"/>
  <c r="J163" i="41"/>
  <c r="I440" i="41"/>
  <c r="I451" i="41"/>
  <c r="I424" i="41" l="1"/>
  <c r="I20" i="41"/>
  <c r="J55" i="41"/>
  <c r="I25" i="41"/>
  <c r="H40" i="41"/>
  <c r="I45" i="41"/>
  <c r="H72" i="41"/>
  <c r="J419" i="41"/>
  <c r="J50" i="41"/>
  <c r="H61" i="41"/>
  <c r="H62" i="41"/>
  <c r="J62" i="41"/>
  <c r="H424" i="41"/>
  <c r="H418" i="41"/>
  <c r="J72" i="41"/>
  <c r="H32" i="41"/>
  <c r="J40" i="41"/>
  <c r="I16" i="41"/>
  <c r="J418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Q166" i="66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Q237" i="66"/>
  <c r="R237" i="66" s="1"/>
  <c r="T237" i="66" s="1"/>
  <c r="V237" i="66"/>
  <c r="X237" i="66" s="1"/>
  <c r="U237" i="66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O249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463" i="37"/>
  <c r="I463" i="58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H463" i="58"/>
  <c r="H463" i="37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F36" i="34"/>
  <c r="C35" i="63"/>
  <c r="V201" i="66"/>
  <c r="X201" i="66" s="1"/>
  <c r="U201" i="66"/>
  <c r="Q201" i="66"/>
  <c r="R201" i="66" s="1"/>
  <c r="T201" i="66" s="1"/>
  <c r="N143" i="66"/>
  <c r="O287" i="66" s="1"/>
  <c r="G28" i="39"/>
  <c r="C8" i="63"/>
  <c r="H13" i="41"/>
  <c r="I419" i="41"/>
  <c r="I11" i="41"/>
  <c r="I402" i="37"/>
  <c r="I403" i="37"/>
  <c r="F97" i="66" s="1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U22" i="66"/>
  <c r="Q22" i="66"/>
  <c r="I298" i="41"/>
  <c r="J49" i="41"/>
  <c r="C44" i="63"/>
  <c r="G27" i="39"/>
  <c r="N127" i="66"/>
  <c r="O271" i="66" s="1"/>
  <c r="J8" i="41"/>
  <c r="C25" i="63"/>
  <c r="Y237" i="66"/>
  <c r="Z237" i="66"/>
  <c r="Y93" i="66"/>
  <c r="Z93" i="66"/>
  <c r="O93" i="66"/>
  <c r="J11" i="41"/>
  <c r="J402" i="37"/>
  <c r="J403" i="37"/>
  <c r="F145" i="66" s="1"/>
  <c r="Z213" i="66"/>
  <c r="Z69" i="66"/>
  <c r="Y69" i="66"/>
  <c r="Y213" i="66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J463" i="58"/>
  <c r="J463" i="37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N79" i="66"/>
  <c r="O223" i="66" s="1"/>
  <c r="F27" i="39"/>
  <c r="G202" i="66"/>
  <c r="I429" i="58"/>
  <c r="I12" i="41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Y235" i="66"/>
  <c r="Z91" i="66"/>
  <c r="Z235" i="66"/>
  <c r="Y91" i="66"/>
  <c r="E362" i="38"/>
  <c r="K141" i="66" s="1"/>
  <c r="N141" i="66" s="1"/>
  <c r="J453" i="41"/>
  <c r="I357" i="41"/>
  <c r="Y139" i="66"/>
  <c r="Y283" i="66"/>
  <c r="Z139" i="66"/>
  <c r="Z283" i="66"/>
  <c r="N95" i="66"/>
  <c r="F28" i="39"/>
  <c r="Y76" i="66"/>
  <c r="Z220" i="66"/>
  <c r="Y220" i="66"/>
  <c r="Z76" i="66"/>
  <c r="I157" i="41"/>
  <c r="J162" i="41"/>
  <c r="I50" i="41"/>
  <c r="I162" i="41"/>
  <c r="Y268" i="66"/>
  <c r="Y124" i="66"/>
  <c r="Z268" i="66"/>
  <c r="Z124" i="66"/>
  <c r="U191" i="66" l="1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H463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I463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N72" i="66" s="1"/>
  <c r="D20" i="57"/>
  <c r="D61" i="57"/>
  <c r="F221" i="66"/>
  <c r="D62" i="57"/>
  <c r="F206" i="66"/>
  <c r="N206" i="66" s="1"/>
  <c r="Q223" i="66"/>
  <c r="R223" i="66" s="1"/>
  <c r="T223" i="66" s="1"/>
  <c r="U223" i="66"/>
  <c r="V223" i="66"/>
  <c r="X223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O7" i="41" s="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Z223" i="66"/>
  <c r="Z79" i="66"/>
  <c r="Y223" i="66"/>
  <c r="Y79" i="66"/>
  <c r="O79" i="66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I242" i="41"/>
  <c r="H124" i="41"/>
  <c r="H386" i="41"/>
  <c r="J285" i="41"/>
  <c r="H136" i="41"/>
  <c r="I327" i="41"/>
  <c r="I194" i="41"/>
  <c r="H333" i="41"/>
  <c r="J46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N52" i="66" s="1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F23" i="39" s="1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J4" i="58"/>
  <c r="J4" i="37"/>
  <c r="I4" i="37"/>
  <c r="I4" i="58"/>
  <c r="M7" i="41" l="1"/>
  <c r="L50" i="39"/>
  <c r="E165" i="38" s="1"/>
  <c r="J221" i="66" s="1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I442" i="37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M9" i="41" s="1"/>
  <c r="J131" i="41"/>
  <c r="C24" i="63"/>
  <c r="Z250" i="66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H442" i="37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E32" i="39"/>
  <c r="E33" i="39" s="1"/>
  <c r="E29" i="39"/>
  <c r="L17" i="39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J443" i="58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H4" i="58"/>
  <c r="H4" i="37"/>
  <c r="F197" i="66"/>
  <c r="N4" i="58"/>
  <c r="E25" i="53"/>
  <c r="F53" i="66"/>
  <c r="I4" i="41"/>
  <c r="D45" i="39" s="1"/>
  <c r="E19" i="53"/>
  <c r="J4" i="41"/>
  <c r="E45" i="39" s="1"/>
  <c r="F101" i="66"/>
  <c r="E31" i="53"/>
  <c r="F245" i="66"/>
  <c r="E37" i="53"/>
  <c r="O4" i="58"/>
  <c r="Y106" i="66" l="1"/>
  <c r="Z106" i="66"/>
  <c r="O9" i="41"/>
  <c r="H435" i="58"/>
  <c r="J435" i="58"/>
  <c r="I442" i="58"/>
  <c r="I442" i="41" s="1"/>
  <c r="J269" i="66"/>
  <c r="N269" i="66" s="1"/>
  <c r="E322" i="38"/>
  <c r="M226" i="66" s="1"/>
  <c r="J77" i="66"/>
  <c r="J265" i="66"/>
  <c r="N265" i="66" s="1"/>
  <c r="J125" i="66"/>
  <c r="N125" i="66" s="1"/>
  <c r="D2" i="53"/>
  <c r="F2" i="53" s="1"/>
  <c r="H8" i="53" s="1"/>
  <c r="H443" i="58"/>
  <c r="H443" i="41" s="1"/>
  <c r="Z182" i="66"/>
  <c r="Y38" i="66"/>
  <c r="D14" i="53"/>
  <c r="F14" i="53" s="1"/>
  <c r="H20" i="53" s="1"/>
  <c r="J474" i="58"/>
  <c r="E415" i="38" s="1"/>
  <c r="J121" i="66"/>
  <c r="N121" i="66" s="1"/>
  <c r="Y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J443" i="41" s="1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F276" i="66"/>
  <c r="J435" i="41"/>
  <c r="L193" i="66"/>
  <c r="H462" i="58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M45" i="39"/>
  <c r="M59" i="39" s="1"/>
  <c r="M60" i="39" s="1"/>
  <c r="J474" i="37"/>
  <c r="J475" i="37"/>
  <c r="J473" i="37"/>
  <c r="J449" i="41"/>
  <c r="W269" i="66"/>
  <c r="S269" i="66"/>
  <c r="P269" i="66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Y265" i="66"/>
  <c r="Z121" i="66"/>
  <c r="O121" i="66"/>
  <c r="Z265" i="66"/>
  <c r="E334" i="38"/>
  <c r="E328" i="38"/>
  <c r="L49" i="66"/>
  <c r="H462" i="37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I461" i="58"/>
  <c r="L226" i="66"/>
  <c r="H475" i="37"/>
  <c r="H473" i="37"/>
  <c r="H474" i="37"/>
  <c r="M49" i="66"/>
  <c r="B20" i="8"/>
  <c r="N233" i="66"/>
  <c r="D8" i="53"/>
  <c r="F8" i="53" s="1"/>
  <c r="H2" i="53" s="1"/>
  <c r="G2" i="53" s="1"/>
  <c r="H433" i="58"/>
  <c r="J163" i="66"/>
  <c r="G33" i="53"/>
  <c r="H27" i="53"/>
  <c r="G27" i="53" s="1"/>
  <c r="J434" i="41"/>
  <c r="S137" i="66"/>
  <c r="P137" i="66"/>
  <c r="W137" i="66"/>
  <c r="F18" i="39"/>
  <c r="L45" i="39"/>
  <c r="E107" i="38"/>
  <c r="D59" i="39"/>
  <c r="D60" i="39" s="1"/>
  <c r="D56" i="39"/>
  <c r="G18" i="39"/>
  <c r="E56" i="39"/>
  <c r="E124" i="38"/>
  <c r="E59" i="39"/>
  <c r="E60" i="39" s="1"/>
  <c r="E7" i="53"/>
  <c r="H4" i="41"/>
  <c r="K45" i="39" s="1"/>
  <c r="F5" i="66"/>
  <c r="M4" i="58"/>
  <c r="F149" i="66"/>
  <c r="E13" i="53"/>
  <c r="H435" i="41" l="1"/>
  <c r="Y269" i="66"/>
  <c r="Z125" i="66"/>
  <c r="W125" i="66"/>
  <c r="Y125" i="66"/>
  <c r="S125" i="66"/>
  <c r="O125" i="66"/>
  <c r="Q125" i="66" s="1"/>
  <c r="R125" i="66" s="1"/>
  <c r="P125" i="66"/>
  <c r="Z269" i="66"/>
  <c r="O269" i="66"/>
  <c r="Q269" i="66" s="1"/>
  <c r="R269" i="66" s="1"/>
  <c r="T269" i="66" s="1"/>
  <c r="O265" i="66"/>
  <c r="U265" i="66" s="1"/>
  <c r="H433" i="41"/>
  <c r="G14" i="53"/>
  <c r="H475" i="41"/>
  <c r="R173" i="66"/>
  <c r="E410" i="38"/>
  <c r="H466" i="58" s="1"/>
  <c r="J474" i="41"/>
  <c r="P173" i="66"/>
  <c r="V173" i="66" s="1"/>
  <c r="S173" i="66"/>
  <c r="P121" i="66"/>
  <c r="E413" i="38"/>
  <c r="I465" i="58" s="1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H462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E175" i="38"/>
  <c r="J444" i="58" s="1"/>
  <c r="M56" i="39"/>
  <c r="M58" i="39" s="1"/>
  <c r="C45" i="39"/>
  <c r="C59" i="39" s="1"/>
  <c r="C60" i="39" s="1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J466" i="58"/>
  <c r="X152" i="66"/>
  <c r="X29" i="66"/>
  <c r="E407" i="38"/>
  <c r="F84" i="66"/>
  <c r="I474" i="41"/>
  <c r="Q121" i="66"/>
  <c r="R121" i="66" s="1"/>
  <c r="U121" i="66"/>
  <c r="V121" i="66"/>
  <c r="L97" i="66"/>
  <c r="I462" i="37"/>
  <c r="O16" i="66"/>
  <c r="F131" i="66"/>
  <c r="E408" i="38"/>
  <c r="J475" i="41"/>
  <c r="X169" i="66"/>
  <c r="L145" i="66"/>
  <c r="J462" i="37"/>
  <c r="L227" i="66"/>
  <c r="P227" i="66" s="1"/>
  <c r="I466" i="58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J461" i="58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I461" i="37"/>
  <c r="I461" i="41" s="1"/>
  <c r="W64" i="66"/>
  <c r="P64" i="66"/>
  <c r="S64" i="66"/>
  <c r="N64" i="66"/>
  <c r="O208" i="66" s="1"/>
  <c r="O152" i="66"/>
  <c r="L34" i="66"/>
  <c r="H461" i="37"/>
  <c r="Y29" i="66"/>
  <c r="Y173" i="66"/>
  <c r="Z29" i="66"/>
  <c r="Z173" i="66"/>
  <c r="O29" i="66"/>
  <c r="K29" i="39"/>
  <c r="W163" i="66"/>
  <c r="S163" i="66"/>
  <c r="I462" i="58"/>
  <c r="L241" i="66"/>
  <c r="Y160" i="66"/>
  <c r="H32" i="53"/>
  <c r="G32" i="53" s="1"/>
  <c r="G26" i="53"/>
  <c r="L178" i="66"/>
  <c r="H461" i="58"/>
  <c r="M34" i="66"/>
  <c r="B19" i="8"/>
  <c r="S211" i="66"/>
  <c r="W211" i="66"/>
  <c r="L232" i="66"/>
  <c r="I460" i="58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H465" i="58"/>
  <c r="X8" i="66"/>
  <c r="J29" i="39"/>
  <c r="J433" i="41"/>
  <c r="J465" i="58"/>
  <c r="L276" i="66"/>
  <c r="P276" i="66" s="1"/>
  <c r="L289" i="66"/>
  <c r="J462" i="58"/>
  <c r="P25" i="66"/>
  <c r="V25" i="66" s="1"/>
  <c r="W25" i="66"/>
  <c r="R25" i="66"/>
  <c r="S25" i="66"/>
  <c r="N25" i="66"/>
  <c r="E327" i="38"/>
  <c r="E333" i="38"/>
  <c r="P49" i="66"/>
  <c r="V49" i="66" s="1"/>
  <c r="X49" i="66" s="1"/>
  <c r="R49" i="66"/>
  <c r="T49" i="66" s="1"/>
  <c r="N49" i="66"/>
  <c r="E404" i="38"/>
  <c r="F35" i="66"/>
  <c r="J461" i="37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J452" i="37"/>
  <c r="D31" i="53"/>
  <c r="F31" i="53" s="1"/>
  <c r="H37" i="53" s="1"/>
  <c r="J101" i="66"/>
  <c r="J444" i="37"/>
  <c r="I452" i="37"/>
  <c r="D19" i="53"/>
  <c r="F19" i="53" s="1"/>
  <c r="H25" i="53" s="1"/>
  <c r="I444" i="37"/>
  <c r="J53" i="66"/>
  <c r="L59" i="39"/>
  <c r="L60" i="39" s="1"/>
  <c r="L56" i="39"/>
  <c r="E158" i="38"/>
  <c r="E57" i="39"/>
  <c r="E58" i="39"/>
  <c r="J452" i="58"/>
  <c r="E141" i="38"/>
  <c r="K56" i="39"/>
  <c r="K59" i="39"/>
  <c r="K60" i="39" s="1"/>
  <c r="D58" i="39"/>
  <c r="D57" i="39"/>
  <c r="L179" i="66" l="1"/>
  <c r="P179" i="66" s="1"/>
  <c r="V179" i="66" s="1"/>
  <c r="X179" i="66" s="1"/>
  <c r="Q265" i="66"/>
  <c r="R265" i="66" s="1"/>
  <c r="T265" i="66" s="1"/>
  <c r="V265" i="66"/>
  <c r="X265" i="66" s="1"/>
  <c r="T125" i="66"/>
  <c r="U125" i="66"/>
  <c r="E314" i="38"/>
  <c r="L211" i="66" s="1"/>
  <c r="V125" i="66"/>
  <c r="X125" i="66" s="1"/>
  <c r="U269" i="66"/>
  <c r="V269" i="66"/>
  <c r="X269" i="66" s="1"/>
  <c r="X173" i="66"/>
  <c r="T173" i="66"/>
  <c r="L228" i="66"/>
  <c r="P228" i="66" s="1"/>
  <c r="X121" i="66"/>
  <c r="D37" i="53"/>
  <c r="F37" i="53" s="1"/>
  <c r="H31" i="53" s="1"/>
  <c r="G31" i="53" s="1"/>
  <c r="J245" i="66"/>
  <c r="W245" i="66" s="1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J461" i="41"/>
  <c r="N275" i="66"/>
  <c r="N276" i="66"/>
  <c r="M57" i="39"/>
  <c r="C56" i="39"/>
  <c r="C57" i="39" s="1"/>
  <c r="E90" i="38"/>
  <c r="H444" i="37" s="1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P145" i="66"/>
  <c r="N145" i="66"/>
  <c r="H459" i="37"/>
  <c r="L19" i="66"/>
  <c r="M88" i="66"/>
  <c r="C18" i="8"/>
  <c r="Z49" i="66"/>
  <c r="Z193" i="66"/>
  <c r="Y49" i="66"/>
  <c r="O49" i="66"/>
  <c r="Y193" i="66"/>
  <c r="Q152" i="66"/>
  <c r="U152" i="66"/>
  <c r="L88" i="66"/>
  <c r="I460" i="37"/>
  <c r="I460" i="41" s="1"/>
  <c r="J460" i="58"/>
  <c r="L280" i="66"/>
  <c r="L132" i="66"/>
  <c r="P132" i="66" s="1"/>
  <c r="J465" i="37"/>
  <c r="J465" i="41" s="1"/>
  <c r="U104" i="66"/>
  <c r="Q104" i="66"/>
  <c r="R104" i="66" s="1"/>
  <c r="T104" i="66" s="1"/>
  <c r="V104" i="66"/>
  <c r="X104" i="66" s="1"/>
  <c r="Q16" i="66"/>
  <c r="U16" i="66"/>
  <c r="I465" i="37"/>
  <c r="I465" i="41" s="1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I462" i="41"/>
  <c r="H466" i="37"/>
  <c r="H466" i="41" s="1"/>
  <c r="L35" i="66"/>
  <c r="N35" i="66" s="1"/>
  <c r="O25" i="66"/>
  <c r="Z25" i="66"/>
  <c r="Y25" i="66"/>
  <c r="Y169" i="66"/>
  <c r="Z169" i="66"/>
  <c r="O169" i="66"/>
  <c r="P241" i="66"/>
  <c r="N241" i="66"/>
  <c r="H460" i="37"/>
  <c r="L40" i="66"/>
  <c r="P232" i="66"/>
  <c r="N232" i="66"/>
  <c r="R178" i="66"/>
  <c r="T178" i="66" s="1"/>
  <c r="P178" i="66"/>
  <c r="V178" i="66" s="1"/>
  <c r="X178" i="66" s="1"/>
  <c r="N178" i="66"/>
  <c r="L36" i="66"/>
  <c r="H465" i="37"/>
  <c r="H465" i="41" s="1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I466" i="37"/>
  <c r="I466" i="41" s="1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I459" i="58"/>
  <c r="H460" i="58"/>
  <c r="L184" i="66"/>
  <c r="I459" i="37"/>
  <c r="L67" i="66"/>
  <c r="L136" i="66"/>
  <c r="J460" i="37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H461" i="41"/>
  <c r="P82" i="66"/>
  <c r="N82" i="66"/>
  <c r="U248" i="66"/>
  <c r="Q248" i="66"/>
  <c r="R248" i="66" s="1"/>
  <c r="T248" i="66" s="1"/>
  <c r="V248" i="66"/>
  <c r="X248" i="66" s="1"/>
  <c r="J462" i="41"/>
  <c r="J466" i="37"/>
  <c r="J466" i="41" s="1"/>
  <c r="L131" i="66"/>
  <c r="P131" i="66" s="1"/>
  <c r="Z217" i="66"/>
  <c r="Y217" i="66"/>
  <c r="O73" i="66"/>
  <c r="Z73" i="66"/>
  <c r="Y73" i="66"/>
  <c r="L57" i="39"/>
  <c r="L58" i="39"/>
  <c r="F54" i="66"/>
  <c r="I467" i="37"/>
  <c r="I457" i="37"/>
  <c r="F55" i="66"/>
  <c r="J457" i="58"/>
  <c r="F247" i="66"/>
  <c r="J467" i="37"/>
  <c r="F102" i="66"/>
  <c r="J444" i="41"/>
  <c r="W53" i="66"/>
  <c r="S53" i="66"/>
  <c r="K57" i="39"/>
  <c r="K58" i="39"/>
  <c r="H452" i="58"/>
  <c r="D13" i="53"/>
  <c r="F13" i="53" s="1"/>
  <c r="H7" i="53" s="1"/>
  <c r="H444" i="58"/>
  <c r="J149" i="66"/>
  <c r="D25" i="53"/>
  <c r="F25" i="53" s="1"/>
  <c r="I452" i="58"/>
  <c r="I452" i="41" s="1"/>
  <c r="J197" i="66"/>
  <c r="I444" i="58"/>
  <c r="S101" i="66"/>
  <c r="W101" i="66"/>
  <c r="J467" i="58"/>
  <c r="F246" i="66"/>
  <c r="F103" i="66"/>
  <c r="J452" i="41"/>
  <c r="J457" i="37"/>
  <c r="R179" i="66" l="1"/>
  <c r="T179" i="66" s="1"/>
  <c r="O274" i="66"/>
  <c r="V274" i="66" s="1"/>
  <c r="X274" i="66" s="1"/>
  <c r="V112" i="66"/>
  <c r="X112" i="66" s="1"/>
  <c r="N228" i="66"/>
  <c r="O289" i="66"/>
  <c r="V289" i="66" s="1"/>
  <c r="X289" i="66" s="1"/>
  <c r="S245" i="66"/>
  <c r="G37" i="53"/>
  <c r="E343" i="38" s="1"/>
  <c r="U112" i="66"/>
  <c r="C58" i="39"/>
  <c r="J5" i="66"/>
  <c r="S5" i="66" s="1"/>
  <c r="D7" i="53"/>
  <c r="F7" i="53" s="1"/>
  <c r="G7" i="53" s="1"/>
  <c r="H452" i="37"/>
  <c r="H452" i="41" s="1"/>
  <c r="O178" i="66"/>
  <c r="U178" i="66" s="1"/>
  <c r="Q193" i="66"/>
  <c r="I459" i="41"/>
  <c r="H460" i="41"/>
  <c r="J460" i="41"/>
  <c r="N67" i="66"/>
  <c r="P67" i="66"/>
  <c r="N83" i="66"/>
  <c r="P40" i="66"/>
  <c r="V40" i="66" s="1"/>
  <c r="X40" i="66" s="1"/>
  <c r="R40" i="66"/>
  <c r="T40" i="66" s="1"/>
  <c r="N40" i="66"/>
  <c r="P280" i="66"/>
  <c r="N280" i="66"/>
  <c r="Q274" i="66"/>
  <c r="R274" i="66" s="1"/>
  <c r="T274" i="66" s="1"/>
  <c r="Q25" i="66"/>
  <c r="U25" i="66"/>
  <c r="N84" i="66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J459" i="37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J459" i="58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H459" i="58"/>
  <c r="H459" i="41" s="1"/>
  <c r="P136" i="66"/>
  <c r="N136" i="66"/>
  <c r="U49" i="66"/>
  <c r="Q49" i="66"/>
  <c r="N19" i="66"/>
  <c r="P19" i="66"/>
  <c r="V19" i="66" s="1"/>
  <c r="X19" i="66" s="1"/>
  <c r="R19" i="66"/>
  <c r="T19" i="66" s="1"/>
  <c r="L246" i="66"/>
  <c r="P246" i="66" s="1"/>
  <c r="E366" i="38"/>
  <c r="K103" i="66" s="1"/>
  <c r="N103" i="66" s="1"/>
  <c r="J457" i="41"/>
  <c r="J458" i="37"/>
  <c r="I467" i="58"/>
  <c r="I467" i="41" s="1"/>
  <c r="F198" i="66"/>
  <c r="S149" i="66"/>
  <c r="W149" i="66"/>
  <c r="E384" i="38"/>
  <c r="K247" i="66" s="1"/>
  <c r="N247" i="66" s="1"/>
  <c r="J458" i="58"/>
  <c r="E385" i="38" s="1"/>
  <c r="K266" i="66" s="1"/>
  <c r="N266" i="66" s="1"/>
  <c r="S197" i="66"/>
  <c r="W197" i="66"/>
  <c r="E360" i="38"/>
  <c r="K55" i="66" s="1"/>
  <c r="N55" i="66" s="1"/>
  <c r="I458" i="37"/>
  <c r="G25" i="53"/>
  <c r="H19" i="53"/>
  <c r="G19" i="53" s="1"/>
  <c r="L102" i="66"/>
  <c r="P102" i="66" s="1"/>
  <c r="F151" i="66"/>
  <c r="H457" i="58"/>
  <c r="J467" i="41"/>
  <c r="O3" i="41" s="1"/>
  <c r="F150" i="66"/>
  <c r="H467" i="58"/>
  <c r="L54" i="66"/>
  <c r="P54" i="66" s="1"/>
  <c r="F199" i="66"/>
  <c r="I457" i="58"/>
  <c r="F6" i="66"/>
  <c r="H444" i="41"/>
  <c r="H467" i="37"/>
  <c r="I444" i="41"/>
  <c r="E331" i="38"/>
  <c r="E337" i="38"/>
  <c r="Q289" i="66" l="1"/>
  <c r="R289" i="66" s="1"/>
  <c r="T289" i="66" s="1"/>
  <c r="E349" i="38"/>
  <c r="M245" i="66" s="1"/>
  <c r="U274" i="66"/>
  <c r="U289" i="66"/>
  <c r="O211" i="66"/>
  <c r="U211" i="66" s="1"/>
  <c r="N102" i="66"/>
  <c r="O228" i="66"/>
  <c r="V228" i="66" s="1"/>
  <c r="X228" i="66" s="1"/>
  <c r="W5" i="66"/>
  <c r="H457" i="37"/>
  <c r="H457" i="41" s="1"/>
  <c r="F7" i="66"/>
  <c r="Q178" i="66"/>
  <c r="O184" i="66"/>
  <c r="Q184" i="66" s="1"/>
  <c r="H13" i="53"/>
  <c r="G13" i="53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J459" i="41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Q211" i="66"/>
  <c r="R211" i="66" s="1"/>
  <c r="T211" i="66" s="1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N54" i="66"/>
  <c r="E367" i="38"/>
  <c r="K122" i="66" s="1"/>
  <c r="N122" i="66" s="1"/>
  <c r="J458" i="41"/>
  <c r="I458" i="58"/>
  <c r="E379" i="38" s="1"/>
  <c r="K218" i="66" s="1"/>
  <c r="N218" i="66" s="1"/>
  <c r="E378" i="38"/>
  <c r="K199" i="66" s="1"/>
  <c r="N199" i="66" s="1"/>
  <c r="Y55" i="66" s="1"/>
  <c r="E354" i="38"/>
  <c r="K7" i="66" s="1"/>
  <c r="I457" i="41"/>
  <c r="Y103" i="66"/>
  <c r="Z103" i="66"/>
  <c r="Y247" i="66"/>
  <c r="Z247" i="66"/>
  <c r="L6" i="66"/>
  <c r="P6" i="66" s="1"/>
  <c r="V6" i="66" s="1"/>
  <c r="X6" i="66" s="1"/>
  <c r="E319" i="38"/>
  <c r="E325" i="38"/>
  <c r="M197" i="66" s="1"/>
  <c r="J464" i="37"/>
  <c r="L101" i="66"/>
  <c r="N246" i="66"/>
  <c r="E313" i="38"/>
  <c r="E307" i="38"/>
  <c r="L150" i="66"/>
  <c r="P150" i="66" s="1"/>
  <c r="V150" i="66" s="1"/>
  <c r="X150" i="66" s="1"/>
  <c r="E372" i="38"/>
  <c r="K151" i="66" s="1"/>
  <c r="N151" i="66" s="1"/>
  <c r="H458" i="58"/>
  <c r="E373" i="38" s="1"/>
  <c r="K170" i="66" s="1"/>
  <c r="N170" i="66" s="1"/>
  <c r="J464" i="58"/>
  <c r="L245" i="66"/>
  <c r="E361" i="38"/>
  <c r="K74" i="66" s="1"/>
  <c r="N74" i="66" s="1"/>
  <c r="M101" i="66"/>
  <c r="D22" i="8"/>
  <c r="H467" i="41"/>
  <c r="M3" i="41" s="1"/>
  <c r="E295" i="38"/>
  <c r="E301" i="38"/>
  <c r="M149" i="66" s="1"/>
  <c r="L198" i="66"/>
  <c r="P198" i="66" s="1"/>
  <c r="E289" i="38"/>
  <c r="E283" i="38"/>
  <c r="O246" i="66" l="1"/>
  <c r="H458" i="37"/>
  <c r="H458" i="41" s="1"/>
  <c r="V211" i="66"/>
  <c r="X211" i="66" s="1"/>
  <c r="U228" i="66"/>
  <c r="Q228" i="66"/>
  <c r="R228" i="66" s="1"/>
  <c r="T228" i="66" s="1"/>
  <c r="N7" i="66"/>
  <c r="Z7" i="66" s="1"/>
  <c r="U184" i="66"/>
  <c r="Y19" i="66"/>
  <c r="O259" i="66"/>
  <c r="V259" i="66" s="1"/>
  <c r="X259" i="66" s="1"/>
  <c r="Q163" i="66"/>
  <c r="U163" i="66"/>
  <c r="Z246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O102" i="66"/>
  <c r="U102" i="66" s="1"/>
  <c r="Z163" i="66"/>
  <c r="Z102" i="66"/>
  <c r="Z55" i="66"/>
  <c r="Y246" i="66"/>
  <c r="N150" i="66"/>
  <c r="Z199" i="66"/>
  <c r="I458" i="41"/>
  <c r="Y102" i="66"/>
  <c r="N198" i="66"/>
  <c r="Y198" i="66" s="1"/>
  <c r="J464" i="41"/>
  <c r="Y199" i="66"/>
  <c r="L53" i="66"/>
  <c r="I464" i="37"/>
  <c r="H464" i="58"/>
  <c r="L149" i="66"/>
  <c r="C22" i="8"/>
  <c r="M53" i="66"/>
  <c r="P245" i="66"/>
  <c r="N245" i="66"/>
  <c r="V246" i="66"/>
  <c r="X246" i="66" s="1"/>
  <c r="Q246" i="66"/>
  <c r="U246" i="66"/>
  <c r="I464" i="58"/>
  <c r="L197" i="66"/>
  <c r="Y218" i="66"/>
  <c r="Z218" i="66"/>
  <c r="Y74" i="66"/>
  <c r="Z74" i="66"/>
  <c r="P101" i="66"/>
  <c r="N101" i="66"/>
  <c r="N6" i="66"/>
  <c r="Y7" i="66"/>
  <c r="B22" i="8"/>
  <c r="M5" i="66"/>
  <c r="H464" i="37"/>
  <c r="L5" i="66"/>
  <c r="Y122" i="66"/>
  <c r="Z122" i="66"/>
  <c r="Y266" i="66"/>
  <c r="Z266" i="66"/>
  <c r="Z151" i="66" l="1"/>
  <c r="E355" i="38"/>
  <c r="K26" i="66" s="1"/>
  <c r="N26" i="66" s="1"/>
  <c r="Z170" i="66" s="1"/>
  <c r="Y151" i="66"/>
  <c r="Q259" i="66"/>
  <c r="R259" i="66" s="1"/>
  <c r="T259" i="66" s="1"/>
  <c r="U259" i="66"/>
  <c r="O150" i="66"/>
  <c r="U150" i="66" s="1"/>
  <c r="V102" i="66"/>
  <c r="X102" i="66" s="1"/>
  <c r="Q102" i="66"/>
  <c r="Q19" i="66"/>
  <c r="U19" i="66"/>
  <c r="Q115" i="66"/>
  <c r="R115" i="66" s="1"/>
  <c r="T115" i="66" s="1"/>
  <c r="V115" i="66"/>
  <c r="X115" i="66" s="1"/>
  <c r="U115" i="66"/>
  <c r="O198" i="66"/>
  <c r="U198" i="66" s="1"/>
  <c r="Z54" i="66"/>
  <c r="H464" i="41"/>
  <c r="Y54" i="66"/>
  <c r="O54" i="66"/>
  <c r="Z198" i="66"/>
  <c r="P197" i="66"/>
  <c r="N197" i="66"/>
  <c r="N149" i="66"/>
  <c r="R149" i="66"/>
  <c r="T149" i="66" s="1"/>
  <c r="P149" i="66"/>
  <c r="V149" i="66" s="1"/>
  <c r="X149" i="66" s="1"/>
  <c r="N5" i="66"/>
  <c r="R5" i="66"/>
  <c r="T5" i="66" s="1"/>
  <c r="P5" i="66"/>
  <c r="V5" i="66" s="1"/>
  <c r="X5" i="66" s="1"/>
  <c r="Y150" i="66"/>
  <c r="Z150" i="66"/>
  <c r="Z6" i="66"/>
  <c r="O6" i="66"/>
  <c r="Y6" i="66"/>
  <c r="I464" i="41"/>
  <c r="Y101" i="66"/>
  <c r="Z101" i="66"/>
  <c r="O101" i="66"/>
  <c r="Z245" i="66"/>
  <c r="Y245" i="66"/>
  <c r="O245" i="66"/>
  <c r="N53" i="66"/>
  <c r="P53" i="66"/>
  <c r="Z26" i="66" l="1"/>
  <c r="Y170" i="66"/>
  <c r="Y26" i="66"/>
  <c r="Q150" i="66"/>
  <c r="V198" i="66"/>
  <c r="X198" i="66" s="1"/>
  <c r="Q198" i="66"/>
  <c r="O149" i="66"/>
  <c r="U149" i="66" s="1"/>
  <c r="U54" i="66"/>
  <c r="V54" i="66"/>
  <c r="X54" i="66" s="1"/>
  <c r="Q54" i="66"/>
  <c r="V101" i="66"/>
  <c r="X101" i="66" s="1"/>
  <c r="U101" i="66"/>
  <c r="Q101" i="66"/>
  <c r="R101" i="66" s="1"/>
  <c r="T101" i="66" s="1"/>
  <c r="O197" i="66"/>
  <c r="O5" i="66"/>
  <c r="Y149" i="66"/>
  <c r="Z149" i="66"/>
  <c r="Y5" i="66"/>
  <c r="Z5" i="66"/>
  <c r="Y53" i="66"/>
  <c r="Y197" i="66"/>
  <c r="Z53" i="66"/>
  <c r="Z197" i="66"/>
  <c r="O53" i="66"/>
  <c r="Q245" i="66"/>
  <c r="R245" i="66" s="1"/>
  <c r="T245" i="66" s="1"/>
  <c r="U245" i="66"/>
  <c r="V245" i="66"/>
  <c r="X245" i="66" s="1"/>
  <c r="Q6" i="66"/>
  <c r="U6" i="66"/>
  <c r="Q149" i="66" l="1"/>
  <c r="Q5" i="66"/>
  <c r="U5" i="66"/>
  <c r="U53" i="66"/>
  <c r="Q53" i="66"/>
  <c r="R53" i="66" s="1"/>
  <c r="T53" i="66" s="1"/>
  <c r="V53" i="66"/>
  <c r="X53" i="66" s="1"/>
  <c r="V197" i="66"/>
  <c r="X197" i="66" s="1"/>
  <c r="Q197" i="66"/>
  <c r="R197" i="66" s="1"/>
  <c r="T197" i="66" s="1"/>
  <c r="U197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<sst xmlns="http://schemas.openxmlformats.org/spreadsheetml/2006/main" count="4078" uniqueCount="344">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</sst>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69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" formatCode="0"/>
    </dxf>
    <dxf>
      <numFmt numFmtId="1" formatCode="0"/>
    </dxf>
    <dxf>
      <numFmt numFmtId="3" formatCode="#,##0"/>
    </dxf>
    <dxf>
      <numFmt numFmtId="35" formatCode="_-* #,##0.00_-;\-* #,##0.00_-;_-* &quot;-&quot;??_-;_-@_-"/>
    </dxf>
    <dxf>
      <numFmt numFmtId="3" formatCode="#,##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1878736</c:v>
                </c:pt>
                <c:pt idx="2">
                  <c:v>840736.00000000012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651654.00000000012</c:v>
                </c:pt>
                <c:pt idx="2">
                  <c:v>651654.00000000012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1082800</c:v>
                </c:pt>
                <c:pt idx="2">
                  <c:v>2120800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2652891.1935631819</c:v>
                </c:pt>
                <c:pt idx="2">
                  <c:v>502970.77367898286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4211255.6038762918</c:v>
                </c:pt>
                <c:pt idx="2">
                  <c:v>1898658.5492599136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-2059649.5955686467</c:v>
                </c:pt>
                <c:pt idx="2">
                  <c:v>-12575583.157406611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-163958.00505549787</c:v>
                </c:pt>
                <c:pt idx="2">
                  <c:v>-19160.331088212348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4615804.8119752295</c:v>
                </c:pt>
                <c:pt idx="2">
                  <c:v>-10237674.694242705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331536.78402541589</c:v>
                </c:pt>
                <c:pt idx="2">
                  <c:v>201553.54533376094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51585.709057995904</c:v>
                </c:pt>
                <c:pt idx="2">
                  <c:v>35731.162393907623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184065.91595960248</c:v>
                </c:pt>
                <c:pt idx="2">
                  <c:v>44478.668157492881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51410.562698571805</c:v>
                </c:pt>
                <c:pt idx="2">
                  <c:v>40334.374559366952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13998.045331604328</c:v>
                </c:pt>
                <c:pt idx="2">
                  <c:v>5773.72581821124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39159.86785277383</c:v>
                </c:pt>
                <c:pt idx="2">
                  <c:v>13729.370211700088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645080.5394918347</c:v>
                </c:pt>
                <c:pt idx="2">
                  <c:v>283703.87058254774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88574.563408726142</c:v>
                </c:pt>
                <c:pt idx="2">
                  <c:v>23071.514152874326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52155.730733299737</c:v>
                </c:pt>
                <c:pt idx="2">
                  <c:v>22592.014388965817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124767.9104014819</c:v>
                </c:pt>
                <c:pt idx="2">
                  <c:v>59726.851641804838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9820.167825206463</c:v>
                </c:pt>
                <c:pt idx="2">
                  <c:v>6129.8730307745791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201034.91604420086</c:v>
                </c:pt>
                <c:pt idx="2">
                  <c:v>57631.208501439745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5440.5460703297485</c:v>
                </c:pt>
                <c:pt idx="2">
                  <c:v>2356.651769164941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80104.741098956074</c:v>
                </c:pt>
                <c:pt idx="2">
                  <c:v>43923.169457988311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30.922182878330066</c:v>
                </c:pt>
                <c:pt idx="2">
                  <c:v>31.572280265069505</c:v>
                </c:pt>
                <c:pt idx="3">
                  <c:v>7.4504602234640007</c:v>
                </c:pt>
                <c:pt idx="4">
                  <c:v>1.4915439279394263</c:v>
                </c:pt>
                <c:pt idx="5">
                  <c:v>1.4681549667806308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3.8590938044324772</c:v>
                </c:pt>
                <c:pt idx="2">
                  <c:v>2.3997505704667463</c:v>
                </c:pt>
                <c:pt idx="3">
                  <c:v>1.4201719861750002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11.649872012036834</c:v>
                </c:pt>
                <c:pt idx="2">
                  <c:v>6.2073813042052022</c:v>
                </c:pt>
                <c:pt idx="3">
                  <c:v>0.45076703431999998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0.14415073922128113</c:v>
                </c:pt>
                <c:pt idx="2">
                  <c:v>0.25791055042193833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1.6831914774161196</c:v>
                </c:pt>
                <c:pt idx="2">
                  <c:v>0.47522688526800949</c:v>
                </c:pt>
                <c:pt idx="3">
                  <c:v>5.0922829580050024</c:v>
                </c:pt>
                <c:pt idx="4">
                  <c:v>5.74315272869572</c:v>
                </c:pt>
                <c:pt idx="5">
                  <c:v>1.0049139628702437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7.5981675535184188</c:v>
                </c:pt>
                <c:pt idx="1">
                  <c:v>5.1082258285052422</c:v>
                </c:pt>
                <c:pt idx="2">
                  <c:v>1.7353928211562413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43.34326206912398</c:v>
                </c:pt>
                <c:pt idx="2">
                  <c:v>39.441262645863254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1163576.0115483031</c:v>
                </c:pt>
                <c:pt idx="2">
                  <c:v>1079601.6553520097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374530.16905968532</c:v>
                </c:pt>
                <c:pt idx="2">
                  <c:v>251865.62846245227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963598.43948368472</c:v>
                </c:pt>
                <c:pt idx="2">
                  <c:v>515944.44781367498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24092.045552303251</c:v>
                </c:pt>
                <c:pt idx="2">
                  <c:v>43104.827368569073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1032906.7284109448</c:v>
                </c:pt>
                <c:pt idx="2">
                  <c:v>209510.50804070031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197552.35639147891</c:v>
                </c:pt>
                <c:pt idx="1">
                  <c:v>132813.87154113629</c:v>
                </c:pt>
                <c:pt idx="2">
                  <c:v>45120.213350062273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1455287.3624576703</c:v>
                </c:pt>
                <c:pt idx="2">
                  <c:v>1338429.6017408923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36207.546114466037</c:v>
                </c:pt>
                <c:pt idx="5">
                  <c:v>7241.509222893209</c:v>
                </c:pt>
                <c:pt idx="6">
                  <c:v>0</c:v>
                </c:pt>
                <c:pt idx="7">
                  <c:v>202630.41559209471</c:v>
                </c:pt>
                <c:pt idx="8">
                  <c:v>422546.47271031182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0</c:v>
                </c:pt>
                <c:pt idx="2">
                  <c:v>0</c:v>
                </c:pt>
                <c:pt idx="9">
                  <c:v>0</c:v>
                </c:pt>
                <c:pt idx="10">
                  <c:v>434688.81587052497</c:v>
                </c:pt>
                <c:pt idx="11">
                  <c:v>551008.95907796128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1081370.4878161605</c:v>
                </c:pt>
                <c:pt idx="2">
                  <c:v>306308.41422169888</c:v>
                </c:pt>
                <c:pt idx="12">
                  <c:v>823764.99285714305</c:v>
                </c:pt>
                <c:pt idx="13">
                  <c:v>409375.97038754652</c:v>
                </c:pt>
                <c:pt idx="14">
                  <c:v>115959.61395535742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2935.3023376165365</c:v>
                </c:pt>
                <c:pt idx="2">
                  <c:v>771.87425449370517</c:v>
                </c:pt>
                <c:pt idx="12">
                  <c:v>3362.8500000000004</c:v>
                </c:pt>
                <c:pt idx="13">
                  <c:v>2222.4431984810917</c:v>
                </c:pt>
                <c:pt idx="14">
                  <c:v>584.41907840237684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32927.442533715388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0</c:v>
                </c:pt>
                <c:pt idx="2">
                  <c:v>0</c:v>
                </c:pt>
                <c:pt idx="3">
                  <c:v>13739757.985270014</c:v>
                </c:pt>
                <c:pt idx="4">
                  <c:v>6869878.9926350061</c:v>
                </c:pt>
                <c:pt idx="5">
                  <c:v>1373975.7985270016</c:v>
                </c:pt>
                <c:pt idx="15">
                  <c:v>0</c:v>
                </c:pt>
                <c:pt idx="16">
                  <c:v>4361420.7251078663</c:v>
                </c:pt>
                <c:pt idx="17">
                  <c:v>872284.14502157341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0</c:v>
                </c:pt>
                <c:pt idx="2">
                  <c:v>0</c:v>
                </c:pt>
                <c:pt idx="3">
                  <c:v>867975.34157733875</c:v>
                </c:pt>
                <c:pt idx="4">
                  <c:v>433987.67078866932</c:v>
                </c:pt>
                <c:pt idx="5">
                  <c:v>86797.534157733899</c:v>
                </c:pt>
                <c:pt idx="9">
                  <c:v>1893765.2125355615</c:v>
                </c:pt>
                <c:pt idx="10">
                  <c:v>1062469.4398652355</c:v>
                </c:pt>
                <c:pt idx="11">
                  <c:v>536659.10822276224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0</c:v>
                </c:pt>
                <c:pt idx="2">
                  <c:v>0</c:v>
                </c:pt>
                <c:pt idx="9">
                  <c:v>982731</c:v>
                </c:pt>
                <c:pt idx="10">
                  <c:v>982809</c:v>
                </c:pt>
                <c:pt idx="11">
                  <c:v>982809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0</c:v>
                </c:pt>
                <c:pt idx="2">
                  <c:v>0</c:v>
                </c:pt>
                <c:pt idx="3">
                  <c:v>6600836.8097011279</c:v>
                </c:pt>
                <c:pt idx="4">
                  <c:v>3300418.4048505635</c:v>
                </c:pt>
                <c:pt idx="5">
                  <c:v>660083.68097011291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4362994.2210802762</c:v>
                </c:pt>
                <c:pt idx="2">
                  <c:v>620162.01823236153</c:v>
                </c:pt>
                <c:pt idx="12">
                  <c:v>6423924.8458333323</c:v>
                </c:pt>
                <c:pt idx="13">
                  <c:v>912784.3173049523</c:v>
                </c:pt>
                <c:pt idx="14">
                  <c:v>129744.42223545458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850877.3336899518</c:v>
                </c:pt>
                <c:pt idx="5">
                  <c:v>170175.46673799041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0</c:v>
                </c:pt>
                <c:pt idx="2">
                  <c:v>0</c:v>
                </c:pt>
                <c:pt idx="3">
                  <c:v>6351407.0475792512</c:v>
                </c:pt>
                <c:pt idx="4">
                  <c:v>3175703.5237896251</c:v>
                </c:pt>
                <c:pt idx="5">
                  <c:v>635140.70475792524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56001.981109265173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456091.5918308252</c:v>
                </c:pt>
                <c:pt idx="20">
                  <c:v>154945.78760323583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0</c:v>
                </c:pt>
                <c:pt idx="2">
                  <c:v>0</c:v>
                </c:pt>
                <c:pt idx="3">
                  <c:v>944413.49448565592</c:v>
                </c:pt>
                <c:pt idx="4">
                  <c:v>472206.74724282796</c:v>
                </c:pt>
                <c:pt idx="5">
                  <c:v>94441.349448565612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22126.833736618137</c:v>
                </c:pt>
                <c:pt idx="5">
                  <c:v>4425.3667473236283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2746408.276800571</c:v>
                </c:pt>
                <c:pt idx="2">
                  <c:v>2845096.2371242284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2794791.573432514</c:v>
                </c:pt>
                <c:pt idx="2">
                  <c:v>71594.294068057861</c:v>
                </c:pt>
                <c:pt idx="12">
                  <c:v>14742130.666666664</c:v>
                </c:pt>
                <c:pt idx="13">
                  <c:v>2478400.0745533616</c:v>
                </c:pt>
                <c:pt idx="14">
                  <c:v>63489.279645258837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113700.99194911413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5460.3434790882347</c:v>
                </c:pt>
                <c:pt idx="5">
                  <c:v>1092.0686958176473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111666.54461229002</c:v>
                </c:pt>
                <c:pt idx="11">
                  <c:v>35122.158464159649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2676705.4543789709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Græsprotein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3">
                  <c:v>0</c:v>
                </c:pt>
                <c:pt idx="4">
                  <c:v>729104.77291680011</c:v>
                </c:pt>
                <c:pt idx="5">
                  <c:v>145820.95458336003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0">
                  <c:v>0</c:v>
                </c:pt>
                <c:pt idx="1">
                  <c:v>213121.78903035366</c:v>
                </c:pt>
                <c:pt idx="2">
                  <c:v>85248.715612141474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120188.93779663031</c:v>
                </c:pt>
                <c:pt idx="5">
                  <c:v>24037.787559326069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ser>
          <c:idx val="34"/>
          <c:order val="34"/>
          <c:tx>
            <c:strRef>
              <c:f>'Resultat-Forbrug af biomasse'!$AJ$3:$AJ$4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biomasse'!$AJ$5:$AJ$33</c:f>
              <c:numCache>
                <c:formatCode>#,##0.0,,</c:formatCode>
                <c:ptCount val="21"/>
                <c:pt idx="9">
                  <c:v>217090.50152909773</c:v>
                </c:pt>
                <c:pt idx="10">
                  <c:v>145949.30938586406</c:v>
                </c:pt>
                <c:pt idx="11">
                  <c:v>49582.652033035469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6-40AF-8824-361102DBFD6B}"/>
            </c:ext>
          </c:extLst>
        </c:ser>
        <c:ser>
          <c:idx val="35"/>
          <c:order val="35"/>
          <c:tx>
            <c:strRef>
              <c:f>'Resultat-Forbrug af biomasse'!$AK$3:$AK$4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biomasse'!$AK$5:$AK$33</c:f>
              <c:numCache>
                <c:formatCode>#,##0.0,,</c:formatCode>
                <c:ptCount val="21"/>
                <c:pt idx="12">
                  <c:v>8803491.7355084848</c:v>
                </c:pt>
                <c:pt idx="13">
                  <c:v>7442983.9796083178</c:v>
                </c:pt>
                <c:pt idx="14">
                  <c:v>707106.91977378912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6-40AF-8824-361102DBFD6B}"/>
            </c:ext>
          </c:extLst>
        </c:ser>
        <c:ser>
          <c:idx val="36"/>
          <c:order val="36"/>
          <c:tx>
            <c:strRef>
              <c:f>'Resultat-Forbrug af biomasse'!$AL$3:$AL$4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biomasse'!$AL$5:$AL$33</c:f>
              <c:numCache>
                <c:formatCode>#,##0.0,,</c:formatCode>
                <c:ptCount val="21"/>
                <c:pt idx="12">
                  <c:v>1108490.5539925825</c:v>
                </c:pt>
                <c:pt idx="13">
                  <c:v>1214646.5101108053</c:v>
                </c:pt>
                <c:pt idx="14">
                  <c:v>643853.41492139385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76-40AF-8824-361102DBF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8"/>
        <c:marker>
          <c:symbol val="none"/>
        </c:marker>
      </c:pivotFmt>
      <c:pivotFmt>
        <c:idx val="50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Æg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52524.078059325388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370459.67448149773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203649.62100550608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1214646.5101108053</c:v>
                </c:pt>
                <c:pt idx="2">
                  <c:v>643853.41492139385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Mælk til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129917.86610814053</c:v>
                </c:pt>
                <c:pt idx="2">
                  <c:v>66296.650495139547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Mejeriprodukter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718606.37479478493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0</c:v>
                </c:pt>
                <c:pt idx="1">
                  <c:v>15662.42568915393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142742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B-4C69-9DB0-E25FAB2A3D83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420629.98984142789</c:v>
                </c:pt>
                <c:pt idx="1">
                  <c:v>112692.89105496966</c:v>
                </c:pt>
                <c:pt idx="2">
                  <c:v>316410.32755021384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DB-4C69-9DB0-E25FAB2A3D83}"/>
            </c:ext>
          </c:extLst>
        </c:ser>
        <c:ser>
          <c:idx val="10"/>
          <c:order val="10"/>
          <c:tx>
            <c:strRef>
              <c:f>'Resultat-Import'!$L$4:$L$5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'Resultat-Import'!$L$6:$L$9</c:f>
              <c:numCache>
                <c:formatCode>0</c:formatCode>
                <c:ptCount val="3"/>
                <c:pt idx="0">
                  <c:v>5421074.2654714445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DB-4C69-9DB0-E25FAB2A3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27538.926117236064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838082.09943668195</c:v>
                </c:pt>
                <c:pt idx="2">
                  <c:v>45599.112462056364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2854666.803694027</c:v>
                </c:pt>
                <c:pt idx="2">
                  <c:v>2904989.6823706953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671994.5174286142</c:v>
                </c:pt>
                <c:pt idx="2">
                  <c:v>191940.89424258086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26093.272398664274</c:v>
                </c:pt>
                <c:pt idx="2">
                  <c:v>1005.3066360172252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963208.41340759175</c:v>
                </c:pt>
                <c:pt idx="2">
                  <c:v>383496.06856011332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454522.60542797972</c:v>
                </c:pt>
                <c:pt idx="2">
                  <c:v>451126.7667083547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486901.45426588471</c:v>
                </c:pt>
                <c:pt idx="2">
                  <c:v>38975.506711951748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2">
                  <c:v>89.563070134143345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1">
                  <c:v>527095.33891758695</c:v>
                </c:pt>
                <c:pt idx="2">
                  <c:v>386031.78774597071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1169085.9387063598</c:v>
                </c:pt>
                <c:pt idx="2">
                  <c:v>115973.32455267682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195159.40515559562</c:v>
                </c:pt>
                <c:pt idx="2">
                  <c:v>192606.70069262292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51892.132620096323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691370.57654557168</c:v>
                </c:pt>
                <c:pt idx="2">
                  <c:v>278565.49059983634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509635.29432711436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8064.2063400965635</c:v>
                </c:pt>
                <c:pt idx="2">
                  <c:v>3542.5928618621338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5269000</c:v>
                </c:pt>
                <c:pt idx="1">
                  <c:v>2166191.8663943978</c:v>
                </c:pt>
                <c:pt idx="2">
                  <c:v>332990.25925576978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199263.33288089724</c:v>
                </c:pt>
                <c:pt idx="2">
                  <c:v>209902.43302081013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78556.736153927603</c:v>
                </c:pt>
                <c:pt idx="2">
                  <c:v>7965.3981704007565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33169.141373315404</c:v>
                </c:pt>
                <c:pt idx="2">
                  <c:v>1511.6633776466692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477364.10723776347</c:v>
                </c:pt>
                <c:pt idx="2">
                  <c:v>64027.685668013553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76.5</c:v>
                </c:pt>
                <c:pt idx="1">
                  <c:v>12539.656520911765</c:v>
                </c:pt>
                <c:pt idx="2">
                  <c:v>16907.931304182355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754480.51999100088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465003.33145723998</c:v>
                </c:pt>
                <c:pt idx="2">
                  <c:v>121866.19478874917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712.85913913544425</c:v>
                </c:pt>
                <c:pt idx="2">
                  <c:v>209.97667263477487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4495296.7922755899</c:v>
                </c:pt>
                <c:pt idx="2">
                  <c:v>4656828.3734416533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1">
                  <c:v>1918096.1012731828</c:v>
                </c:pt>
                <c:pt idx="2">
                  <c:v>340994.86244856589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ser>
          <c:idx val="28"/>
          <c:order val="28"/>
          <c:tx>
            <c:strRef>
              <c:f>'Resultat-Eksport'!$AD$4:$AD$5</c:f>
              <c:strCache>
                <c:ptCount val="1"/>
                <c:pt idx="0">
                  <c:v>Fiberfraktion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'Resultat-Eksport'!$AD$6:$AD$9</c:f>
              <c:numCache>
                <c:formatCode>#,##0</c:formatCode>
                <c:ptCount val="3"/>
                <c:pt idx="1">
                  <c:v>1501098.0618875297</c:v>
                </c:pt>
                <c:pt idx="2">
                  <c:v>300219.61237750604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2-4340-8FE5-3EF611A7729F}"/>
            </c:ext>
          </c:extLst>
        </c:ser>
        <c:ser>
          <c:idx val="29"/>
          <c:order val="29"/>
          <c:tx>
            <c:strRef>
              <c:f>'Resultat-Eksport'!$AE$4:$AE$5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'Resultat-Eksport'!$AE$6:$AE$9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588981.75537258375</c:v>
                </c:pt>
                <c:pt idx="2">
                  <c:v>176398.87119798979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2-4340-8FE5-3EF611A7729F}"/>
            </c:ext>
          </c:extLst>
        </c:ser>
        <c:ser>
          <c:idx val="30"/>
          <c:order val="30"/>
          <c:tx>
            <c:strRef>
              <c:f>'Resultat-Eksport'!$AF$4:$AF$5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'Resultat-Eksport'!$AF$6:$AF$9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1307746.6579023309</c:v>
                </c:pt>
                <c:pt idx="2">
                  <c:v>411321.81092640071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2-4340-8FE5-3EF611A7729F}"/>
            </c:ext>
          </c:extLst>
        </c:ser>
        <c:ser>
          <c:idx val="31"/>
          <c:order val="31"/>
          <c:tx>
            <c:strRef>
              <c:f>'Resultat-Eksport'!$AG$4:$AG$5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'Resultat-Eksport'!$AG$6:$AG$9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107856.85811878227</c:v>
                </c:pt>
                <c:pt idx="2">
                  <c:v>53435.106242291848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12-4340-8FE5-3EF611A77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1878736</c:v>
                </c:pt>
                <c:pt idx="2">
                  <c:v>840736.00000000012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651654.00000000012</c:v>
                </c:pt>
                <c:pt idx="2">
                  <c:v>651654.00000000012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1082800</c:v>
                </c:pt>
                <c:pt idx="2">
                  <c:v>2120800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2652891.1935631819</c:v>
                </c:pt>
                <c:pt idx="2">
                  <c:v>502970.77367898286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4211255.6038762918</c:v>
                </c:pt>
                <c:pt idx="2">
                  <c:v>1898658.5492599136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-2059649.5955686467</c:v>
                </c:pt>
                <c:pt idx="2">
                  <c:v>-12575583.157406611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-163958.00505549787</c:v>
                </c:pt>
                <c:pt idx="2">
                  <c:v>-19160.331088212348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4615804.8119752295</c:v>
                </c:pt>
                <c:pt idx="2">
                  <c:v>-10237674.694242705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331536.78402541589</c:v>
                </c:pt>
                <c:pt idx="2">
                  <c:v>201553.54533376094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51585.709057995904</c:v>
                </c:pt>
                <c:pt idx="2">
                  <c:v>35731.162393907623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184065.91595960248</c:v>
                </c:pt>
                <c:pt idx="2">
                  <c:v>44478.668157492881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51410.562698571805</c:v>
                </c:pt>
                <c:pt idx="2">
                  <c:v>40334.374559366952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13998.045331604328</c:v>
                </c:pt>
                <c:pt idx="2">
                  <c:v>5773.72581821124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39159.86785277383</c:v>
                </c:pt>
                <c:pt idx="2">
                  <c:v>13729.370211700088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645080.5394918347</c:v>
                </c:pt>
                <c:pt idx="2">
                  <c:v>283703.87058254774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88574.563408726142</c:v>
                </c:pt>
                <c:pt idx="2">
                  <c:v>23071.514152874326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52155.730733299737</c:v>
                </c:pt>
                <c:pt idx="2">
                  <c:v>22592.014388965817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124767.9104014819</c:v>
                </c:pt>
                <c:pt idx="2">
                  <c:v>59726.851641804838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9820.167825206463</c:v>
                </c:pt>
                <c:pt idx="2">
                  <c:v>6129.8730307745791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201034.91604420086</c:v>
                </c:pt>
                <c:pt idx="2">
                  <c:v>57631.208501439745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5440.5460703297485</c:v>
                </c:pt>
                <c:pt idx="2">
                  <c:v>2356.651769164941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80104.741098956074</c:v>
                </c:pt>
                <c:pt idx="2">
                  <c:v>43923.169457988311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4471608.583018776</c:v>
                </c:pt>
                <c:pt idx="2">
                  <c:v>1276887.7198872385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362326.78948390862</c:v>
                </c:pt>
                <c:pt idx="2">
                  <c:v>-20036.286778381706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5998414.7151165372</c:v>
                </c:pt>
                <c:pt idx="2">
                  <c:v>168170.05525909321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2456161.9169812235</c:v>
                </c:pt>
                <c:pt idx="2">
                  <c:v>1353905.5801127614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432873.21051609138</c:v>
                </c:pt>
                <c:pt idx="2">
                  <c:v>258250.6867783817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6424299.2848834628</c:v>
                </c:pt>
                <c:pt idx="2">
                  <c:v>3744810.3447409067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1055703.8134178538</c:v>
                </c:pt>
                <c:pt idx="3">
                  <c:v>21216.247725388857</c:v>
                </c:pt>
                <c:pt idx="4">
                  <c:v>463084.0167324213</c:v>
                </c:pt>
                <c:pt idx="5">
                  <c:v>12303.077662840105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503348.87978942681</c:v>
                </c:pt>
                <c:pt idx="3">
                  <c:v>459859.53361816495</c:v>
                </c:pt>
                <c:pt idx="4">
                  <c:v>116828.38870778363</c:v>
                </c:pt>
                <c:pt idx="5">
                  <c:v>266667.67985232966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212870.55640082812</c:v>
                </c:pt>
                <c:pt idx="3">
                  <c:v>155683.78957542713</c:v>
                </c:pt>
                <c:pt idx="4">
                  <c:v>95084.225804193949</c:v>
                </c:pt>
                <c:pt idx="5">
                  <c:v>90279.382989087491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10019425.413707765</c:v>
                </c:pt>
                <c:pt idx="3">
                  <c:v>1666396.9094630885</c:v>
                </c:pt>
                <c:pt idx="4">
                  <c:v>1484191.1539502868</c:v>
                </c:pt>
                <c:pt idx="5">
                  <c:v>1213195.5563066429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914917.20796027384</c:v>
                </c:pt>
                <c:pt idx="3">
                  <c:v>76027.405090946413</c:v>
                </c:pt>
                <c:pt idx="4">
                  <c:v>520430.19403510873</c:v>
                </c:pt>
                <c:pt idx="5">
                  <c:v>44087.488110293329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474846.15363376588</c:v>
                </c:pt>
                <c:pt idx="3">
                  <c:v>114135.60173881784</c:v>
                </c:pt>
                <c:pt idx="4">
                  <c:v>110212.84290198362</c:v>
                </c:pt>
                <c:pt idx="5">
                  <c:v>66186.028296006189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1309144.9470220618</c:v>
                </c:pt>
                <c:pt idx="3">
                  <c:v>90433.089420305812</c:v>
                </c:pt>
                <c:pt idx="4">
                  <c:v>303855.43881513749</c:v>
                </c:pt>
                <c:pt idx="5">
                  <c:v>52441.192091529192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2167292.6710484698</c:v>
                </c:pt>
                <c:pt idx="3">
                  <c:v>1880453.021446147</c:v>
                </c:pt>
                <c:pt idx="4">
                  <c:v>223399.5256268252</c:v>
                </c:pt>
                <c:pt idx="5">
                  <c:v>1205010.4251037105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3542262.6085471725</c:v>
                </c:pt>
                <c:pt idx="3">
                  <c:v>324811.4917880242</c:v>
                </c:pt>
                <c:pt idx="4">
                  <c:v>678402.70281965565</c:v>
                </c:pt>
                <c:pt idx="5">
                  <c:v>235303.4925381059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997813.12750469695</c:v>
                </c:pt>
                <c:pt idx="3">
                  <c:v>309933.53039763391</c:v>
                </c:pt>
                <c:pt idx="4">
                  <c:v>231594.63465303747</c:v>
                </c:pt>
                <c:pt idx="5">
                  <c:v>179727.17627336323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85201.780821949884</c:v>
                </c:pt>
                <c:pt idx="3">
                  <c:v>26464.763790340134</c:v>
                </c:pt>
                <c:pt idx="4">
                  <c:v>19775.521846053056</c:v>
                </c:pt>
                <c:pt idx="5">
                  <c:v>15346.636618106591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304634.88719504897</c:v>
                </c:pt>
                <c:pt idx="3">
                  <c:v>151456.7046357762</c:v>
                </c:pt>
                <c:pt idx="4">
                  <c:v>69105.833019649028</c:v>
                </c:pt>
                <c:pt idx="5">
                  <c:v>85839.954583586805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244501.84634790485</c:v>
                </c:pt>
                <c:pt idx="3">
                  <c:v>426968.23377582035</c:v>
                </c:pt>
                <c:pt idx="4">
                  <c:v>56749.419521612363</c:v>
                </c:pt>
                <c:pt idx="5">
                  <c:v>247594.36294776335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2676705.4543789709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754480.51999100088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493538.04142220784</c:v>
                </c:pt>
                <c:pt idx="2">
                  <c:v>1469786.3932272389</c:v>
                </c:pt>
                <c:pt idx="3">
                  <c:v>0</c:v>
                </c:pt>
                <c:pt idx="4">
                  <c:v>57505.320180618473</c:v>
                </c:pt>
                <c:pt idx="5">
                  <c:v>169980.9787230776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Adfærd!$B$18:$B$31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Adfærd!$C$17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Adfærd!$C$18:$C$31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44.89</c:v>
                </c:pt>
                <c:pt idx="4">
                  <c:v>22.11</c:v>
                </c:pt>
                <c:pt idx="5">
                  <c:v>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13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Adfærd!$D$17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Adfærd!$D$18:$D$31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0</c:v>
                </c:pt>
                <c:pt idx="4">
                  <c:v>0</c:v>
                </c:pt>
                <c:pt idx="5">
                  <c:v>160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0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Adfærd!$A$17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36207.546114466037</c:v>
                </c:pt>
                <c:pt idx="5">
                  <c:v>7241.509222893209</c:v>
                </c:pt>
                <c:pt idx="6">
                  <c:v>0</c:v>
                </c:pt>
                <c:pt idx="7">
                  <c:v>202630.41559209471</c:v>
                </c:pt>
                <c:pt idx="8">
                  <c:v>422546.47271031182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0</c:v>
                </c:pt>
                <c:pt idx="2">
                  <c:v>0</c:v>
                </c:pt>
                <c:pt idx="9">
                  <c:v>0</c:v>
                </c:pt>
                <c:pt idx="10">
                  <c:v>434688.81587052497</c:v>
                </c:pt>
                <c:pt idx="11">
                  <c:v>551008.95907796128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1081370.4878161605</c:v>
                </c:pt>
                <c:pt idx="2">
                  <c:v>306308.41422169888</c:v>
                </c:pt>
                <c:pt idx="12">
                  <c:v>823764.99285714305</c:v>
                </c:pt>
                <c:pt idx="13">
                  <c:v>409375.97038754652</c:v>
                </c:pt>
                <c:pt idx="14">
                  <c:v>115959.61395535742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2935.3023376165365</c:v>
                </c:pt>
                <c:pt idx="2">
                  <c:v>771.87425449370517</c:v>
                </c:pt>
                <c:pt idx="12">
                  <c:v>3362.8500000000004</c:v>
                </c:pt>
                <c:pt idx="13">
                  <c:v>2222.4431984810917</c:v>
                </c:pt>
                <c:pt idx="14">
                  <c:v>584.41907840237684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32927.442533715388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0</c:v>
                </c:pt>
                <c:pt idx="2">
                  <c:v>0</c:v>
                </c:pt>
                <c:pt idx="3">
                  <c:v>13739757.985270014</c:v>
                </c:pt>
                <c:pt idx="4">
                  <c:v>6869878.9926350061</c:v>
                </c:pt>
                <c:pt idx="5">
                  <c:v>1373975.7985270016</c:v>
                </c:pt>
                <c:pt idx="15">
                  <c:v>0</c:v>
                </c:pt>
                <c:pt idx="16">
                  <c:v>4361420.7251078663</c:v>
                </c:pt>
                <c:pt idx="17">
                  <c:v>872284.14502157341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0</c:v>
                </c:pt>
                <c:pt idx="2">
                  <c:v>0</c:v>
                </c:pt>
                <c:pt idx="3">
                  <c:v>867975.34157733875</c:v>
                </c:pt>
                <c:pt idx="4">
                  <c:v>433987.67078866932</c:v>
                </c:pt>
                <c:pt idx="5">
                  <c:v>86797.534157733899</c:v>
                </c:pt>
                <c:pt idx="9">
                  <c:v>1893765.2125355615</c:v>
                </c:pt>
                <c:pt idx="10">
                  <c:v>1062469.4398652355</c:v>
                </c:pt>
                <c:pt idx="11">
                  <c:v>536659.10822276224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0</c:v>
                </c:pt>
                <c:pt idx="2">
                  <c:v>0</c:v>
                </c:pt>
                <c:pt idx="9">
                  <c:v>982731</c:v>
                </c:pt>
                <c:pt idx="10">
                  <c:v>982809</c:v>
                </c:pt>
                <c:pt idx="11">
                  <c:v>982809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0</c:v>
                </c:pt>
                <c:pt idx="2">
                  <c:v>0</c:v>
                </c:pt>
                <c:pt idx="3">
                  <c:v>6600836.8097011279</c:v>
                </c:pt>
                <c:pt idx="4">
                  <c:v>3300418.4048505635</c:v>
                </c:pt>
                <c:pt idx="5">
                  <c:v>660083.68097011291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4362994.2210802762</c:v>
                </c:pt>
                <c:pt idx="2">
                  <c:v>620162.01823236153</c:v>
                </c:pt>
                <c:pt idx="12">
                  <c:v>6423924.8458333323</c:v>
                </c:pt>
                <c:pt idx="13">
                  <c:v>912784.3173049523</c:v>
                </c:pt>
                <c:pt idx="14">
                  <c:v>129744.42223545458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850877.3336899518</c:v>
                </c:pt>
                <c:pt idx="5">
                  <c:v>170175.46673799041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0</c:v>
                </c:pt>
                <c:pt idx="2">
                  <c:v>0</c:v>
                </c:pt>
                <c:pt idx="3">
                  <c:v>6351407.0475792512</c:v>
                </c:pt>
                <c:pt idx="4">
                  <c:v>3175703.5237896251</c:v>
                </c:pt>
                <c:pt idx="5">
                  <c:v>635140.70475792524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56001.981109265173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456091.5918308252</c:v>
                </c:pt>
                <c:pt idx="20">
                  <c:v>154945.78760323583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0</c:v>
                </c:pt>
                <c:pt idx="2">
                  <c:v>0</c:v>
                </c:pt>
                <c:pt idx="3">
                  <c:v>944413.49448565592</c:v>
                </c:pt>
                <c:pt idx="4">
                  <c:v>472206.74724282796</c:v>
                </c:pt>
                <c:pt idx="5">
                  <c:v>94441.349448565612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22126.833736618137</c:v>
                </c:pt>
                <c:pt idx="5">
                  <c:v>4425.3667473236283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2746408.276800571</c:v>
                </c:pt>
                <c:pt idx="2">
                  <c:v>2845096.2371242284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2794791.573432514</c:v>
                </c:pt>
                <c:pt idx="2">
                  <c:v>71594.294068057861</c:v>
                </c:pt>
                <c:pt idx="12">
                  <c:v>14742130.666666664</c:v>
                </c:pt>
                <c:pt idx="13">
                  <c:v>2478400.0745533616</c:v>
                </c:pt>
                <c:pt idx="14">
                  <c:v>63489.279645258837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113700.99194911413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5460.3434790882347</c:v>
                </c:pt>
                <c:pt idx="5">
                  <c:v>1092.0686958176473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111666.54461229002</c:v>
                </c:pt>
                <c:pt idx="11">
                  <c:v>35122.158464159649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2676705.4543789709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Græsprotein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3">
                  <c:v>0</c:v>
                </c:pt>
                <c:pt idx="4">
                  <c:v>729104.77291680011</c:v>
                </c:pt>
                <c:pt idx="5">
                  <c:v>145820.95458336003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0">
                  <c:v>0</c:v>
                </c:pt>
                <c:pt idx="1">
                  <c:v>213121.78903035366</c:v>
                </c:pt>
                <c:pt idx="2">
                  <c:v>85248.715612141474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120188.93779663031</c:v>
                </c:pt>
                <c:pt idx="5">
                  <c:v>24037.787559326069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ser>
          <c:idx val="34"/>
          <c:order val="34"/>
          <c:tx>
            <c:strRef>
              <c:f>'Resultat-Forbrug af biomasse'!$AJ$3:$AJ$4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biomasse'!$AJ$5:$AJ$33</c:f>
              <c:numCache>
                <c:formatCode>#,##0.0,,</c:formatCode>
                <c:ptCount val="21"/>
                <c:pt idx="9">
                  <c:v>217090.50152909773</c:v>
                </c:pt>
                <c:pt idx="10">
                  <c:v>145949.30938586406</c:v>
                </c:pt>
                <c:pt idx="11">
                  <c:v>49582.652033035469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4-4F59-A929-7B35DF469127}"/>
            </c:ext>
          </c:extLst>
        </c:ser>
        <c:ser>
          <c:idx val="35"/>
          <c:order val="35"/>
          <c:tx>
            <c:strRef>
              <c:f>'Resultat-Forbrug af biomasse'!$AK$3:$AK$4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biomasse'!$AK$5:$AK$33</c:f>
              <c:numCache>
                <c:formatCode>#,##0.0,,</c:formatCode>
                <c:ptCount val="21"/>
                <c:pt idx="12">
                  <c:v>8803491.7355084848</c:v>
                </c:pt>
                <c:pt idx="13">
                  <c:v>7442983.9796083178</c:v>
                </c:pt>
                <c:pt idx="14">
                  <c:v>707106.91977378912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4-4F59-A929-7B35DF469127}"/>
            </c:ext>
          </c:extLst>
        </c:ser>
        <c:ser>
          <c:idx val="36"/>
          <c:order val="36"/>
          <c:tx>
            <c:strRef>
              <c:f>'Resultat-Forbrug af biomasse'!$AL$3:$AL$4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biomasse'!$AL$5:$AL$33</c:f>
              <c:numCache>
                <c:formatCode>#,##0.0,,</c:formatCode>
                <c:ptCount val="21"/>
                <c:pt idx="12">
                  <c:v>1108490.5539925825</c:v>
                </c:pt>
                <c:pt idx="13">
                  <c:v>1214646.5101108053</c:v>
                </c:pt>
                <c:pt idx="14">
                  <c:v>643853.41492139385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4-4F59-A929-7B35DF469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52524.078059325388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370459.67448149773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203649.62100550608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1214646.5101108053</c:v>
                </c:pt>
                <c:pt idx="2">
                  <c:v>643853.41492139385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129917.86610814053</c:v>
                </c:pt>
                <c:pt idx="2">
                  <c:v>66296.650495139547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718606.37479478493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0</c:v>
                </c:pt>
                <c:pt idx="1">
                  <c:v>15662.42568915393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142742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3-4FDF-B20A-E55D2A66E721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420629.98984142789</c:v>
                </c:pt>
                <c:pt idx="1">
                  <c:v>112692.89105496966</c:v>
                </c:pt>
                <c:pt idx="2">
                  <c:v>316410.32755021384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3-4FDF-B20A-E55D2A66E721}"/>
            </c:ext>
          </c:extLst>
        </c:ser>
        <c:ser>
          <c:idx val="10"/>
          <c:order val="10"/>
          <c:tx>
            <c:strRef>
              <c:f>'Resultat-Import'!$L$4:$L$5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'Resultat-Import'!$L$6:$L$9</c:f>
              <c:numCache>
                <c:formatCode>0</c:formatCode>
                <c:ptCount val="3"/>
                <c:pt idx="0">
                  <c:v>5421074.2654714445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3-4FDF-B20A-E55D2A66E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27538.926117236064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838082.09943668195</c:v>
                </c:pt>
                <c:pt idx="2">
                  <c:v>45599.112462056364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2854666.803694027</c:v>
                </c:pt>
                <c:pt idx="2">
                  <c:v>2904989.6823706953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671994.5174286142</c:v>
                </c:pt>
                <c:pt idx="2">
                  <c:v>191940.89424258086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26093.272398664274</c:v>
                </c:pt>
                <c:pt idx="2">
                  <c:v>1005.3066360172252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963208.41340759175</c:v>
                </c:pt>
                <c:pt idx="2">
                  <c:v>383496.06856011332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454522.60542797972</c:v>
                </c:pt>
                <c:pt idx="2">
                  <c:v>451126.7667083547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486901.45426588471</c:v>
                </c:pt>
                <c:pt idx="2">
                  <c:v>38975.506711951748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2">
                  <c:v>89.563070134143345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1">
                  <c:v>527095.33891758695</c:v>
                </c:pt>
                <c:pt idx="2">
                  <c:v>386031.78774597071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1169085.9387063598</c:v>
                </c:pt>
                <c:pt idx="2">
                  <c:v>115973.32455267682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195159.40515559562</c:v>
                </c:pt>
                <c:pt idx="2">
                  <c:v>192606.70069262292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51892.132620096323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691370.57654557168</c:v>
                </c:pt>
                <c:pt idx="2">
                  <c:v>278565.49059983634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509635.29432711436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8064.2063400965635</c:v>
                </c:pt>
                <c:pt idx="2">
                  <c:v>3542.5928618621338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5269000</c:v>
                </c:pt>
                <c:pt idx="1">
                  <c:v>2166191.8663943978</c:v>
                </c:pt>
                <c:pt idx="2">
                  <c:v>332990.25925576978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199263.33288089724</c:v>
                </c:pt>
                <c:pt idx="2">
                  <c:v>209902.43302081013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78556.736153927603</c:v>
                </c:pt>
                <c:pt idx="2">
                  <c:v>7965.3981704007565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33169.141373315404</c:v>
                </c:pt>
                <c:pt idx="2">
                  <c:v>1511.6633776466692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477364.10723776347</c:v>
                </c:pt>
                <c:pt idx="2">
                  <c:v>64027.685668013553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76.5</c:v>
                </c:pt>
                <c:pt idx="1">
                  <c:v>12539.656520911765</c:v>
                </c:pt>
                <c:pt idx="2">
                  <c:v>16907.931304182355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754480.51999100088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465003.33145723998</c:v>
                </c:pt>
                <c:pt idx="2">
                  <c:v>121866.19478874917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712.85913913544425</c:v>
                </c:pt>
                <c:pt idx="2">
                  <c:v>209.97667263477487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4495296.7922755899</c:v>
                </c:pt>
                <c:pt idx="2">
                  <c:v>4656828.3734416533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1">
                  <c:v>1918096.1012731828</c:v>
                </c:pt>
                <c:pt idx="2">
                  <c:v>340994.86244856589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ser>
          <c:idx val="28"/>
          <c:order val="28"/>
          <c:tx>
            <c:strRef>
              <c:f>'Resultat-Eksport'!$AD$4:$AD$5</c:f>
              <c:strCache>
                <c:ptCount val="1"/>
                <c:pt idx="0">
                  <c:v>Fiberfraktion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'Resultat-Eksport'!$AD$6:$AD$9</c:f>
              <c:numCache>
                <c:formatCode>#,##0</c:formatCode>
                <c:ptCount val="3"/>
                <c:pt idx="1">
                  <c:v>1501098.0618875297</c:v>
                </c:pt>
                <c:pt idx="2">
                  <c:v>300219.61237750604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F-441B-BF05-09EC74FD6215}"/>
            </c:ext>
          </c:extLst>
        </c:ser>
        <c:ser>
          <c:idx val="29"/>
          <c:order val="29"/>
          <c:tx>
            <c:strRef>
              <c:f>'Resultat-Eksport'!$AE$4:$AE$5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'Resultat-Eksport'!$AE$6:$AE$9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588981.75537258375</c:v>
                </c:pt>
                <c:pt idx="2">
                  <c:v>176398.87119798979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F-441B-BF05-09EC74FD6215}"/>
            </c:ext>
          </c:extLst>
        </c:ser>
        <c:ser>
          <c:idx val="30"/>
          <c:order val="30"/>
          <c:tx>
            <c:strRef>
              <c:f>'Resultat-Eksport'!$AF$4:$AF$5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'Resultat-Eksport'!$AF$6:$AF$9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1307746.6579023309</c:v>
                </c:pt>
                <c:pt idx="2">
                  <c:v>411321.81092640071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F-441B-BF05-09EC74FD6215}"/>
            </c:ext>
          </c:extLst>
        </c:ser>
        <c:ser>
          <c:idx val="31"/>
          <c:order val="31"/>
          <c:tx>
            <c:strRef>
              <c:f>'Resultat-Eksport'!$AG$4:$AG$5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'Resultat-Eksport'!$AG$6:$AG$9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107856.85811878227</c:v>
                </c:pt>
                <c:pt idx="2">
                  <c:v>53435.106242291848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F-441B-BF05-09EC74FD6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30.922182878330066</c:v>
                </c:pt>
                <c:pt idx="2">
                  <c:v>31.572280265069505</c:v>
                </c:pt>
                <c:pt idx="3">
                  <c:v>7.4504602234640007</c:v>
                </c:pt>
                <c:pt idx="4">
                  <c:v>1.4915439279394263</c:v>
                </c:pt>
                <c:pt idx="5">
                  <c:v>1.4681549667806308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3.8590938044324772</c:v>
                </c:pt>
                <c:pt idx="2">
                  <c:v>2.3997505704667463</c:v>
                </c:pt>
                <c:pt idx="3">
                  <c:v>1.4201719861750002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11.649872012036834</c:v>
                </c:pt>
                <c:pt idx="2">
                  <c:v>6.2073813042052022</c:v>
                </c:pt>
                <c:pt idx="3">
                  <c:v>0.45076703431999998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0.14415073922128113</c:v>
                </c:pt>
                <c:pt idx="2">
                  <c:v>0.25791055042193833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1.6831914774161196</c:v>
                </c:pt>
                <c:pt idx="2">
                  <c:v>0.47522688526800949</c:v>
                </c:pt>
                <c:pt idx="3">
                  <c:v>5.0922829580050024</c:v>
                </c:pt>
                <c:pt idx="4">
                  <c:v>5.74315272869572</c:v>
                </c:pt>
                <c:pt idx="5">
                  <c:v>1.0049139628702437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7.5981675535184188</c:v>
                </c:pt>
                <c:pt idx="1">
                  <c:v>5.1082258285052422</c:v>
                </c:pt>
                <c:pt idx="2">
                  <c:v>1.7353928211562413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43.34326206912398</c:v>
                </c:pt>
                <c:pt idx="2">
                  <c:v>39.441262645863254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[BAU_mad.xlsx]Resultat-Tørstof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1163576.0115483031</c:v>
                </c:pt>
                <c:pt idx="2">
                  <c:v>1079601.6553520097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374530.16905968532</c:v>
                </c:pt>
                <c:pt idx="2">
                  <c:v>251865.62846245227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963598.43948368472</c:v>
                </c:pt>
                <c:pt idx="2">
                  <c:v>515944.44781367498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24092.045552303251</c:v>
                </c:pt>
                <c:pt idx="2">
                  <c:v>43104.827368569073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1032906.7284109448</c:v>
                </c:pt>
                <c:pt idx="2">
                  <c:v>209510.50804070031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197552.35639147891</c:v>
                </c:pt>
                <c:pt idx="1">
                  <c:v>132813.87154113629</c:v>
                </c:pt>
                <c:pt idx="2">
                  <c:v>45120.213350062273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1455287.3624576703</c:v>
                </c:pt>
                <c:pt idx="2">
                  <c:v>1338429.6017408923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528109</xdr:colOff>
      <xdr:row>188</xdr:row>
      <xdr:rowOff>75672</xdr:rowOff>
    </xdr:from>
    <xdr:to>
      <xdr:col>25</xdr:col>
      <xdr:colOff>524933</xdr:colOff>
      <xdr:row>253</xdr:row>
      <xdr:rowOff>13759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167118</xdr:rowOff>
    </xdr:from>
    <xdr:to>
      <xdr:col>12</xdr:col>
      <xdr:colOff>436129</xdr:colOff>
      <xdr:row>174</xdr:row>
      <xdr:rowOff>42333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149226</xdr:rowOff>
    </xdr:from>
    <xdr:to>
      <xdr:col>26</xdr:col>
      <xdr:colOff>526244</xdr:colOff>
      <xdr:row>188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784194</xdr:colOff>
      <xdr:row>37</xdr:row>
      <xdr:rowOff>103388</xdr:rowOff>
    </xdr:from>
    <xdr:to>
      <xdr:col>4</xdr:col>
      <xdr:colOff>203446</xdr:colOff>
      <xdr:row>53</xdr:row>
      <xdr:rowOff>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 t="e">
            <v>#REF!</v>
          </cell>
          <cell r="I4" t="e">
            <v>#REF!</v>
          </cell>
          <cell r="J4" t="e">
            <v>#REF!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1828704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352607214.55648875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4073475.9513422842"/>
    </cacheField>
    <cacheField name="Gødning" numFmtId="3">
      <sharedItems containsSemiMixedTypes="0" containsString="0" containsNumber="1" minValue="0" maxValue="12818096.433914844"/>
    </cacheField>
    <cacheField name="Energi" numFmtId="3">
      <sharedItems containsSemiMixedTypes="0" containsString="0" containsNumber="1" minValue="0" maxValue="352607214.55648875"/>
    </cacheField>
    <cacheField name="Materialer og processer" numFmtId="3">
      <sharedItems containsSemiMixedTypes="0" containsString="0" containsNumber="1" minValue="0" maxValue="3884618.233807533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352607214.55648875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2.7926735859525804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309584.17230201361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252315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1209072.815184468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2638889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352607214.55648875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4073475.9513422842"/>
    </cacheField>
    <cacheField name="Gødning" numFmtId="3">
      <sharedItems containsSemiMixedTypes="0" containsString="0" containsNumber="1" minValue="0" maxValue="12818096.433914844"/>
    </cacheField>
    <cacheField name="Energi" numFmtId="3">
      <sharedItems containsSemiMixedTypes="0" containsString="0" containsNumber="1" minValue="0" maxValue="352607214.55648875"/>
    </cacheField>
    <cacheField name="Materialer og processer" numFmtId="3">
      <sharedItems containsSemiMixedTypes="0" containsString="0" containsNumber="1" minValue="0" maxValue="3884618.233807533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352607214.55648875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2.7926735859525804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309584.17230201361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3101851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352607214.55648875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4073475.9513422842"/>
    </cacheField>
    <cacheField name="Gødning" numFmtId="3">
      <sharedItems containsSemiMixedTypes="0" containsString="0" containsNumber="1" minValue="0" maxValue="12818096.433914844"/>
    </cacheField>
    <cacheField name="Energi" numFmtId="3">
      <sharedItems containsSemiMixedTypes="0" containsString="0" containsNumber="1" minValue="0" maxValue="352607214.55648875"/>
    </cacheField>
    <cacheField name="Materialer og processer" numFmtId="3">
      <sharedItems containsSemiMixedTypes="0" containsString="0" containsNumber="1" minValue="0" maxValue="3884618.233807533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352607214.55648875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2.7926735859525804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309584.17230201361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3333336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" maxValue="853064.00210361299"/>
    </cacheField>
    <cacheField name="Udbytte, hovedafgrøde" numFmtId="0">
      <sharedItems containsSemiMixedTypes="0" containsString="0" containsNumber="1" minValue="0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0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379629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2303.077662840105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3912036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934433912036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2818096.4339148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81488.73162783937"/>
    <n v="0"/>
    <n v="0"/>
    <n v="32579.784552999867"/>
    <n v="0"/>
    <n v="0"/>
    <n v="0"/>
    <n v="0"/>
    <n v="48908.947074839503"/>
    <n v="0"/>
    <n v="0"/>
    <n v="0"/>
    <n v="0"/>
    <n v="0"/>
    <n v="0"/>
    <n v="0"/>
    <n v="0"/>
    <n v="0"/>
    <n v="0"/>
  </r>
  <r>
    <x v="1"/>
    <x v="10"/>
    <n v="0"/>
    <x v="1"/>
    <s v="Vestdanmark"/>
    <n v="1055703.8134178538"/>
    <n v="32249.237737595988"/>
    <n v="0"/>
    <n v="108599.28184333291"/>
    <n v="0"/>
    <n v="0"/>
    <n v="0"/>
    <n v="0"/>
    <n v="914855.29383692495"/>
    <n v="0"/>
    <n v="0"/>
    <n v="0"/>
    <n v="0"/>
    <n v="0"/>
    <n v="0"/>
    <n v="0"/>
    <n v="0"/>
    <n v="0"/>
    <n v="0"/>
  </r>
  <r>
    <x v="2"/>
    <x v="1"/>
    <n v="1"/>
    <x v="1"/>
    <s v="Vestdanmark"/>
    <n v="232970.42100479943"/>
    <n v="0"/>
    <n v="0"/>
    <n v="0"/>
    <n v="0"/>
    <n v="0"/>
    <n v="232970.42100479943"/>
    <n v="0"/>
    <n v="0"/>
    <n v="0"/>
    <n v="232970.42100479943"/>
    <n v="0"/>
    <n v="4.1590393305718987"/>
    <n v="0"/>
    <n v="4.1590393305718987"/>
    <n v="0"/>
    <n v="65231.717881343844"/>
    <n v="0"/>
    <n v="65231.717881343844"/>
  </r>
  <r>
    <x v="3"/>
    <x v="10"/>
    <n v="1"/>
    <x v="1"/>
    <s v="Vestdanmark"/>
    <n v="167251712.03677821"/>
    <n v="0"/>
    <n v="0"/>
    <n v="0"/>
    <n v="0"/>
    <n v="0"/>
    <n v="167251712.03677821"/>
    <n v="0"/>
    <n v="0"/>
    <n v="0"/>
    <n v="167251712.03677821"/>
    <n v="0"/>
    <n v="0"/>
    <n v="0"/>
    <n v="0"/>
    <n v="0"/>
    <n v="0"/>
    <n v="0"/>
    <n v="0"/>
  </r>
  <r>
    <x v="4"/>
    <x v="10"/>
    <n v="0"/>
    <x v="1"/>
    <s v="Vestdanmark"/>
    <n v="8398446.2205836736"/>
    <n v="0"/>
    <n v="0"/>
    <n v="0"/>
    <n v="0"/>
    <n v="6070268.0629610736"/>
    <n v="0"/>
    <n v="0"/>
    <n v="2328178.1576226"/>
    <n v="0"/>
    <n v="0"/>
    <n v="0"/>
    <n v="0"/>
    <n v="0"/>
    <n v="0"/>
    <n v="0"/>
    <n v="0"/>
    <n v="0"/>
    <n v="0"/>
  </r>
  <r>
    <x v="5"/>
    <x v="1"/>
    <n v="1"/>
    <x v="1"/>
    <s v="Vestdanmark"/>
    <n v="1898227.2976393914"/>
    <n v="0"/>
    <n v="0"/>
    <n v="0"/>
    <n v="189822.72976393916"/>
    <n v="0"/>
    <n v="0"/>
    <n v="0"/>
    <n v="1708404.5678754523"/>
    <n v="1708404.5678754523"/>
    <n v="189822.72976393916"/>
    <n v="0.9704183445152833"/>
    <n v="1.0782426050169815"/>
    <n v="0.10782426050169815"/>
    <n v="0.97041834451528342"/>
    <n v="73057.166642722514"/>
    <n v="81174.629603025009"/>
    <n v="8117.4629603025023"/>
    <n v="73057.166642722499"/>
  </r>
  <r>
    <x v="6"/>
    <x v="2"/>
    <n v="1"/>
    <x v="1"/>
    <s v="Vestdanmark"/>
    <n v="1897012.2450900592"/>
    <n v="0"/>
    <n v="0"/>
    <n v="0"/>
    <n v="948506.12254502962"/>
    <n v="359077.31782061834"/>
    <n v="0"/>
    <n v="0"/>
    <n v="589428.80472441134"/>
    <n v="589428.80472441134"/>
    <n v="948506.12254502962"/>
    <n v="1.269629645376382"/>
    <n v="3.3127118333383763"/>
    <n v="2.043082187961994"/>
    <n v="1.2696296453763822"/>
    <n v="176828.64141732341"/>
    <n v="461380.47818083229"/>
    <n v="284551.83676350885"/>
    <n v="176828.64141732344"/>
  </r>
  <r>
    <x v="7"/>
    <x v="10"/>
    <n v="0"/>
    <x v="1"/>
    <s v="Vestdanmark"/>
    <n v="1336993.8993439414"/>
    <n v="0"/>
    <n v="0"/>
    <n v="0"/>
    <n v="0"/>
    <n v="0"/>
    <n v="0"/>
    <n v="0"/>
    <n v="1336993.8993439414"/>
    <n v="0"/>
    <n v="0"/>
    <n v="0"/>
    <n v="0"/>
    <n v="0"/>
    <n v="0"/>
    <n v="0"/>
    <n v="0"/>
    <n v="0"/>
    <n v="0"/>
  </r>
  <r>
    <x v="8"/>
    <x v="2"/>
    <n v="1"/>
    <x v="1"/>
    <s v="Vestdanmark"/>
    <n v="5416.0385581725213"/>
    <n v="0"/>
    <n v="0"/>
    <n v="0"/>
    <n v="2708.0192790862607"/>
    <n v="2050.3574541653115"/>
    <n v="0"/>
    <n v="0"/>
    <n v="657.66182492094867"/>
    <n v="657.66182492094867"/>
    <n v="2708.0192790862607"/>
    <n v="3.0929177964207296E-4"/>
    <n v="1.5828461664035504E-3"/>
    <n v="1.2735543867614775E-3"/>
    <n v="3.0929177964207286E-4"/>
    <n v="41.432694970019767"/>
    <n v="212.03790955245418"/>
    <n v="170.60521458243443"/>
    <n v="41.432694970019753"/>
  </r>
  <r>
    <x v="9"/>
    <x v="10"/>
    <n v="0"/>
    <x v="1"/>
    <s v="Vestdanmark"/>
    <n v="54450.688726027351"/>
    <n v="0"/>
    <n v="0"/>
    <n v="17647.383299541594"/>
    <n v="0"/>
    <n v="0"/>
    <n v="0"/>
    <n v="0"/>
    <n v="36803.305426485756"/>
    <n v="0"/>
    <n v="0"/>
    <n v="0"/>
    <n v="0"/>
    <n v="0"/>
    <n v="0"/>
    <n v="0"/>
    <n v="0"/>
    <n v="0"/>
    <n v="0"/>
  </r>
  <r>
    <x v="10"/>
    <x v="10"/>
    <n v="0"/>
    <x v="1"/>
    <s v="Vestdanmark"/>
    <n v="503348.87978942681"/>
    <n v="0"/>
    <n v="0"/>
    <n v="0"/>
    <n v="0"/>
    <n v="0"/>
    <n v="0"/>
    <n v="0"/>
    <n v="503348.87978942681"/>
    <n v="0"/>
    <n v="0"/>
    <n v="0"/>
    <n v="0"/>
    <n v="0"/>
    <n v="0"/>
    <n v="0"/>
    <n v="0"/>
    <n v="0"/>
    <n v="0"/>
  </r>
  <r>
    <x v="11"/>
    <x v="10"/>
    <n v="0"/>
    <x v="1"/>
    <s v="Vestdanmark"/>
    <n v="212870.55640082812"/>
    <n v="0"/>
    <n v="0"/>
    <n v="257923.29437791562"/>
    <n v="0"/>
    <n v="0"/>
    <n v="0"/>
    <n v="0"/>
    <n v="-45052.737977087498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"/>
    <n v="1"/>
    <x v="1"/>
    <s v="Vestdanmark"/>
    <n v="10019425.413707765"/>
    <n v="6118844.9546291493"/>
    <n v="0"/>
    <n v="0"/>
    <n v="0"/>
    <n v="0"/>
    <n v="0"/>
    <n v="3884618.233807533"/>
    <n v="15962.225271081552"/>
    <n v="15962.225271081552"/>
    <n v="0"/>
    <n v="2.9368499220631172E-2"/>
    <n v="2.9368499220631172E-2"/>
    <n v="0"/>
    <n v="2.9368499220631172E-2"/>
    <n v="4469.4230759028351"/>
    <n v="4469.4230759028351"/>
    <n v="0"/>
    <n v="4469.4230759028351"/>
  </r>
  <r>
    <x v="14"/>
    <x v="10"/>
    <n v="0"/>
    <x v="1"/>
    <s v="Vestdanmark"/>
    <n v="649397.03682420007"/>
    <n v="649397.0368242000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914917.20796027384"/>
    <n v="0"/>
    <n v="0"/>
    <n v="270140.71358529059"/>
    <n v="0"/>
    <n v="0"/>
    <n v="0"/>
    <n v="0"/>
    <n v="644776.49437498325"/>
    <n v="0"/>
    <n v="0"/>
    <n v="0"/>
    <n v="0"/>
    <n v="0"/>
    <n v="0"/>
    <n v="0"/>
    <n v="0"/>
    <n v="0"/>
    <n v="0"/>
  </r>
  <r>
    <x v="16"/>
    <x v="5"/>
    <n v="1"/>
    <x v="1"/>
    <s v="Vestdanmark"/>
    <n v="1175164.654924925"/>
    <n v="386542.94677146303"/>
    <n v="349975.86857885815"/>
    <n v="0"/>
    <n v="0"/>
    <n v="0"/>
    <n v="438645.83957460371"/>
    <n v="0"/>
    <n v="0"/>
    <n v="0"/>
    <n v="438645.83957460371"/>
    <n v="0"/>
    <n v="4.5337584493101053"/>
    <n v="0"/>
    <n v="4.5337584493101053"/>
    <n v="0"/>
    <n v="372848.96363841317"/>
    <n v="0"/>
    <n v="372848.96363841317"/>
  </r>
  <r>
    <x v="17"/>
    <x v="1"/>
    <n v="1"/>
    <x v="1"/>
    <s v="Vestdanmark"/>
    <n v="526734.10986839118"/>
    <n v="0"/>
    <n v="0"/>
    <n v="0"/>
    <n v="0"/>
    <n v="0"/>
    <n v="526734.10986839118"/>
    <n v="0"/>
    <n v="0"/>
    <n v="0"/>
    <n v="526734.10986839118"/>
    <n v="0"/>
    <n v="9.4033734851313486"/>
    <n v="0"/>
    <n v="9.4033734851313486"/>
    <n v="0"/>
    <n v="158020.23296051734"/>
    <n v="0"/>
    <n v="158020.23296051734"/>
  </r>
  <r>
    <x v="18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1"/>
    <x v="1"/>
    <s v="Vestdanmark"/>
    <n v="344385.13737273094"/>
    <n v="0"/>
    <n v="0"/>
    <n v="0"/>
    <n v="0"/>
    <n v="0"/>
    <n v="0"/>
    <n v="0"/>
    <n v="344385.13737273094"/>
    <n v="344385.13737273094"/>
    <n v="0"/>
    <n v="1.4922655703039018"/>
    <n v="1.4922655703039018"/>
    <n v="0"/>
    <n v="1.4922655703039018"/>
    <n v="144641.75769654699"/>
    <n v="144641.75769654699"/>
    <n v="0"/>
    <n v="144641.75769654699"/>
  </r>
  <r>
    <x v="20"/>
    <x v="10"/>
    <n v="0"/>
    <x v="1"/>
    <s v="Vestdanmark"/>
    <n v="474846.15363376588"/>
    <n v="0"/>
    <n v="0"/>
    <n v="0"/>
    <n v="0"/>
    <n v="0"/>
    <n v="0"/>
    <n v="0"/>
    <n v="474846.15363376588"/>
    <n v="0"/>
    <n v="0"/>
    <n v="0"/>
    <n v="0"/>
    <n v="0"/>
    <n v="0"/>
    <n v="0"/>
    <n v="0"/>
    <n v="0"/>
    <n v="0"/>
  </r>
  <r>
    <x v="21"/>
    <x v="10"/>
    <n v="0"/>
    <x v="1"/>
    <s v="Vestdanmark"/>
    <n v="1309144.9470220618"/>
    <n v="0"/>
    <n v="0"/>
    <n v="123531.68309679118"/>
    <n v="0"/>
    <n v="0"/>
    <n v="0"/>
    <n v="0"/>
    <n v="1185613.2639252706"/>
    <n v="0"/>
    <n v="0"/>
    <n v="0"/>
    <n v="0"/>
    <n v="0"/>
    <n v="0"/>
    <n v="0"/>
    <n v="0"/>
    <n v="0"/>
    <n v="0"/>
  </r>
  <r>
    <x v="22"/>
    <x v="5"/>
    <n v="1"/>
    <x v="1"/>
    <s v="Vestdanmark"/>
    <n v="2167292.6710484698"/>
    <n v="2939607.6009978116"/>
    <n v="0"/>
    <n v="295933.04302308214"/>
    <n v="0"/>
    <n v="0"/>
    <n v="0"/>
    <n v="0"/>
    <n v="-1068247.9729724238"/>
    <n v="0"/>
    <n v="0"/>
    <n v="0"/>
    <n v="0"/>
    <n v="0"/>
    <n v="0"/>
    <n v="0"/>
    <n v="0"/>
    <n v="0"/>
    <n v="0"/>
  </r>
  <r>
    <x v="23"/>
    <x v="10"/>
    <n v="0"/>
    <x v="1"/>
    <s v="Vestdanmark"/>
    <n v="0"/>
    <n v="0"/>
    <n v="0"/>
    <n v="0"/>
    <n v="0"/>
    <n v="864168.35414458788"/>
    <n v="0"/>
    <n v="0"/>
    <n v="-864168.35414458788"/>
    <n v="0"/>
    <n v="0"/>
    <n v="0"/>
    <n v="0"/>
    <n v="0"/>
    <n v="0"/>
    <n v="0"/>
    <n v="0"/>
    <n v="0"/>
    <n v="0"/>
  </r>
  <r>
    <x v="24"/>
    <x v="2"/>
    <n v="1"/>
    <x v="1"/>
    <s v="Vestdanmark"/>
    <n v="5359836.7780819526"/>
    <n v="0"/>
    <n v="0"/>
    <n v="0"/>
    <n v="4073475.9513422842"/>
    <n v="852214.04771503038"/>
    <n v="0"/>
    <n v="0"/>
    <n v="434146.77902463824"/>
    <n v="434146.77902463824"/>
    <n v="4073475.9513422842"/>
    <n v="0.21976075807448164"/>
    <n v="2.281713549884433"/>
    <n v="2.0619527918099512"/>
    <n v="0.21976075807448181"/>
    <n v="32995.155205872506"/>
    <n v="342579.3275078861"/>
    <n v="309584.17230201361"/>
    <n v="32995.155205872492"/>
  </r>
  <r>
    <x v="25"/>
    <x v="10"/>
    <n v="0"/>
    <x v="1"/>
    <s v="Vestdanmark"/>
    <n v="673118.25417909713"/>
    <n v="757857.08683350566"/>
    <n v="0"/>
    <n v="0"/>
    <n v="0"/>
    <n v="0"/>
    <n v="0"/>
    <n v="0"/>
    <n v="-84738.832654408528"/>
    <n v="0"/>
    <n v="0"/>
    <n v="0"/>
    <n v="0"/>
    <n v="0"/>
    <n v="0"/>
    <n v="0"/>
    <n v="0"/>
    <n v="0"/>
    <n v="0"/>
  </r>
  <r>
    <x v="26"/>
    <x v="4"/>
    <n v="1"/>
    <x v="1"/>
    <s v="Vestdanmark"/>
    <n v="3542262.6085471725"/>
    <n v="2828526.8932349812"/>
    <n v="0"/>
    <n v="0"/>
    <n v="0"/>
    <n v="0"/>
    <n v="0"/>
    <n v="0"/>
    <n v="713735.71531219129"/>
    <n v="691370.57654557168"/>
    <n v="0"/>
    <n v="2.4820203697986027"/>
    <n v="2.4820203697986027"/>
    <n v="0"/>
    <n v="2.4820203697986027"/>
    <n v="207411.1729636715"/>
    <n v="207411.1729636715"/>
    <n v="0"/>
    <n v="207411.1729636715"/>
  </r>
  <r>
    <x v="27"/>
    <x v="10"/>
    <n v="0"/>
    <x v="1"/>
    <s v="Vestdanmark"/>
    <n v="1298768.8893653844"/>
    <n v="0"/>
    <n v="0"/>
    <n v="472406.87601849809"/>
    <n v="0"/>
    <n v="0"/>
    <n v="0"/>
    <n v="0"/>
    <n v="826362.01334688626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37662.715228391091"/>
    <n v="0"/>
    <n v="0"/>
    <n v="30014.126519451132"/>
    <n v="0"/>
    <n v="0"/>
    <n v="0"/>
    <n v="0"/>
    <n v="7648.5887089399585"/>
    <n v="0"/>
    <n v="0"/>
    <n v="0"/>
    <n v="0"/>
    <n v="0"/>
    <n v="0"/>
    <n v="0"/>
    <n v="0"/>
    <n v="0"/>
    <n v="0"/>
  </r>
  <r>
    <x v="30"/>
    <x v="10"/>
    <n v="0"/>
    <x v="1"/>
    <s v="Vestdanmark"/>
    <n v="997813.12750469695"/>
    <n v="0"/>
    <n v="0"/>
    <n v="0"/>
    <n v="0"/>
    <n v="0"/>
    <n v="0"/>
    <n v="0"/>
    <n v="997813.12750469695"/>
    <n v="0"/>
    <n v="0"/>
    <n v="0"/>
    <n v="0"/>
    <n v="0"/>
    <n v="0"/>
    <n v="0"/>
    <n v="0"/>
    <n v="0"/>
    <n v="0"/>
  </r>
  <r>
    <x v="31"/>
    <x v="7"/>
    <n v="1"/>
    <x v="1"/>
    <s v="Vestdanmark"/>
    <n v="85201.780821949884"/>
    <n v="0"/>
    <n v="0"/>
    <n v="0"/>
    <n v="0"/>
    <n v="0"/>
    <n v="85201.780821949884"/>
    <n v="0"/>
    <n v="0"/>
    <n v="0"/>
    <n v="85201.780821949884"/>
    <n v="0"/>
    <n v="1.5677127671238775"/>
    <n v="0"/>
    <n v="1.5677127671238775"/>
    <n v="0"/>
    <n v="35358.739041109206"/>
    <n v="0"/>
    <n v="35358.739041109206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2022448.3523533144"/>
    <n v="0"/>
    <n v="0"/>
    <n v="0"/>
    <n v="0"/>
    <n v="0"/>
    <n v="0"/>
    <n v="0"/>
    <n v="2022448.3523533144"/>
    <n v="0"/>
    <n v="0"/>
    <n v="0"/>
    <n v="0"/>
    <n v="0"/>
    <n v="0"/>
    <n v="0"/>
    <n v="0"/>
    <n v="0"/>
    <n v="0"/>
  </r>
  <r>
    <x v="35"/>
    <x v="10"/>
    <n v="0"/>
    <x v="1"/>
    <s v="Vestdanmark"/>
    <n v="304634.88719504897"/>
    <n v="0"/>
    <n v="0"/>
    <n v="0"/>
    <n v="0"/>
    <n v="0"/>
    <n v="0"/>
    <n v="304634.88719504897"/>
    <n v="0"/>
    <n v="0"/>
    <n v="0"/>
    <n v="0"/>
    <n v="0"/>
    <n v="0"/>
    <n v="0"/>
    <n v="0"/>
    <n v="0"/>
    <n v="0"/>
    <n v="0"/>
  </r>
  <r>
    <x v="36"/>
    <x v="10"/>
    <n v="0"/>
    <x v="1"/>
    <s v="Vestdanmark"/>
    <n v="152317.44359752449"/>
    <n v="107049.55304563112"/>
    <n v="0"/>
    <n v="0"/>
    <n v="0"/>
    <n v="0"/>
    <n v="0"/>
    <n v="0"/>
    <n v="45267.890551893361"/>
    <n v="0"/>
    <n v="0"/>
    <n v="0"/>
    <n v="0"/>
    <n v="0"/>
    <n v="0"/>
    <n v="0"/>
    <n v="0"/>
    <n v="0"/>
    <n v="0"/>
  </r>
  <r>
    <x v="37"/>
    <x v="9"/>
    <n v="1"/>
    <x v="1"/>
    <s v="Vestdanmark"/>
    <n v="97483.163902415676"/>
    <n v="0"/>
    <n v="0"/>
    <n v="0"/>
    <n v="0"/>
    <n v="0"/>
    <n v="97483.163902415676"/>
    <n v="0"/>
    <n v="0"/>
    <n v="0"/>
    <n v="97483.163902415676"/>
    <n v="0"/>
    <n v="3.4119107365845482"/>
    <n v="0"/>
    <n v="3.4119107365845482"/>
    <n v="0"/>
    <n v="88709.679151198274"/>
    <n v="0"/>
    <n v="88709.679151198274"/>
  </r>
  <r>
    <x v="38"/>
    <x v="4"/>
    <n v="1"/>
    <x v="1"/>
    <s v="Vestdanmark"/>
    <n v="244501.84634790485"/>
    <n v="420583.80882781441"/>
    <n v="0"/>
    <n v="0"/>
    <n v="0"/>
    <n v="0"/>
    <n v="0"/>
    <n v="0"/>
    <n v="-176081.96247990956"/>
    <n v="0"/>
    <n v="0"/>
    <n v="0"/>
    <n v="0"/>
    <n v="0"/>
    <n v="0"/>
    <n v="0"/>
    <n v="0"/>
    <n v="0"/>
    <n v="0"/>
  </r>
  <r>
    <x v="39"/>
    <x v="10"/>
    <n v="0"/>
    <x v="1"/>
    <s v="Vestdanmark"/>
    <n v="70212.674391725712"/>
    <n v="0"/>
    <n v="0"/>
    <n v="0"/>
    <n v="0"/>
    <n v="0"/>
    <n v="0"/>
    <n v="0"/>
    <n v="70212.674391725712"/>
    <n v="0"/>
    <n v="0"/>
    <n v="0"/>
    <n v="0"/>
    <n v="0"/>
    <n v="0"/>
    <n v="0"/>
    <n v="0"/>
    <n v="0"/>
    <n v="0"/>
  </r>
  <r>
    <x v="40"/>
    <x v="10"/>
    <n v="0"/>
    <x v="1"/>
    <s v="Vestdanmark"/>
    <n v="48453.238883082529"/>
    <n v="19707.867506308663"/>
    <n v="0"/>
    <n v="0"/>
    <n v="0"/>
    <n v="0"/>
    <n v="0"/>
    <n v="0"/>
    <n v="28745.371376773866"/>
    <n v="0"/>
    <n v="0"/>
    <n v="0"/>
    <n v="0"/>
    <n v="0"/>
    <n v="0"/>
    <n v="0"/>
    <n v="0"/>
    <n v="0"/>
    <n v="0"/>
  </r>
  <r>
    <x v="41"/>
    <x v="1"/>
    <n v="1"/>
    <x v="1"/>
    <s v="Vestdanmark"/>
    <n v="3902711.417929336"/>
    <n v="0"/>
    <n v="0"/>
    <n v="0"/>
    <n v="1480098.7941273053"/>
    <n v="0"/>
    <n v="0"/>
    <n v="0"/>
    <n v="2422612.6238020305"/>
    <n v="2422612.6238020305"/>
    <n v="1480098.7941273053"/>
    <n v="1.2089079254034514"/>
    <n v="1.9474920246609182"/>
    <n v="0.73858409925746671"/>
    <n v="1.2089079254034516"/>
    <n v="145356.75742812181"/>
    <n v="234162.68507576012"/>
    <n v="88805.927647638309"/>
    <n v="145356.75742812181"/>
  </r>
  <r>
    <x v="42"/>
    <x v="2"/>
    <n v="1"/>
    <x v="1"/>
    <s v="Vestdanmark"/>
    <n v="4605821.4125648942"/>
    <n v="0"/>
    <n v="0"/>
    <n v="0"/>
    <n v="2441085.3486593938"/>
    <n v="2164736.0639055003"/>
    <n v="0"/>
    <n v="0"/>
    <n v="0"/>
    <n v="0"/>
    <n v="2441085.3486593938"/>
    <n v="0"/>
    <n v="1.0516195682024669"/>
    <n v="1.0516195682024669"/>
    <n v="0"/>
    <n v="0"/>
    <n v="122054.2674329697"/>
    <n v="122054.2674329697"/>
    <n v="0"/>
  </r>
  <r>
    <x v="43"/>
    <x v="10"/>
    <n v="0"/>
    <x v="1"/>
    <s v="Vestdanmark"/>
    <n v="516260.44941767416"/>
    <n v="0"/>
    <n v="0"/>
    <n v="60937.772024340171"/>
    <n v="0"/>
    <n v="0"/>
    <n v="0"/>
    <n v="0"/>
    <n v="455322.67739333399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4863.4037343860291"/>
    <n v="0"/>
    <n v="0"/>
    <n v="0"/>
    <n v="0"/>
    <n v="0"/>
    <n v="0"/>
    <n v="8636.5962656139709"/>
    <n v="8636.5962656139709"/>
    <n v="0"/>
    <n v="7.7513451483885399E-3"/>
    <n v="7.7513451483885399E-3"/>
    <n v="0"/>
    <n v="7.7513451483885399E-3"/>
    <n v="1295.4894398420956"/>
    <n v="1295.4894398420956"/>
    <n v="0"/>
    <n v="1295.4894398420956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10017.156591918179"/>
    <n v="0"/>
    <n v="0"/>
    <n v="33849.968886444818"/>
    <n v="0"/>
    <n v="0"/>
    <n v="0"/>
    <n v="0"/>
    <n v="-23832.812294526637"/>
    <n v="0"/>
    <n v="0"/>
    <n v="0"/>
    <n v="0"/>
    <n v="0"/>
    <n v="0"/>
    <n v="0"/>
    <n v="0"/>
    <n v="0"/>
    <n v="0"/>
  </r>
  <r>
    <x v="1"/>
    <x v="10"/>
    <n v="0"/>
    <x v="2"/>
    <s v="Vestdanmark"/>
    <n v="463084.0167324213"/>
    <n v="6449.847547519199"/>
    <n v="0"/>
    <n v="225666.45924296544"/>
    <n v="0"/>
    <n v="0"/>
    <n v="0"/>
    <n v="0"/>
    <n v="230967.70994193666"/>
    <n v="0"/>
    <n v="0"/>
    <n v="0"/>
    <n v="0"/>
    <n v="0"/>
    <n v="0"/>
    <n v="0"/>
    <n v="0"/>
    <n v="0"/>
    <n v="0"/>
  </r>
  <r>
    <x v="2"/>
    <x v="1"/>
    <n v="1"/>
    <x v="2"/>
    <s v="Vestdanmark"/>
    <n v="294273.52690628928"/>
    <n v="0"/>
    <n v="0"/>
    <n v="0"/>
    <n v="0"/>
    <n v="0"/>
    <n v="294273.52690628928"/>
    <n v="0"/>
    <n v="0"/>
    <n v="0"/>
    <n v="294273.52690628928"/>
    <n v="0"/>
    <n v="5.2534358957275158"/>
    <n v="0"/>
    <n v="5.2534358957275158"/>
    <n v="0"/>
    <n v="82396.587533761005"/>
    <n v="0"/>
    <n v="82396.587533761005"/>
  </r>
  <r>
    <x v="3"/>
    <x v="10"/>
    <n v="1"/>
    <x v="2"/>
    <s v="Vestdanmark"/>
    <n v="47333608.503108315"/>
    <n v="0"/>
    <n v="0"/>
    <n v="0"/>
    <n v="0"/>
    <n v="0"/>
    <n v="47333608.503108315"/>
    <n v="0"/>
    <n v="0"/>
    <n v="0"/>
    <n v="47333608.503108315"/>
    <n v="0"/>
    <n v="0"/>
    <n v="0"/>
    <n v="0"/>
    <n v="0"/>
    <n v="0"/>
    <n v="0"/>
    <n v="0"/>
  </r>
  <r>
    <x v="4"/>
    <x v="10"/>
    <n v="0"/>
    <x v="2"/>
    <s v="Vestdanmark"/>
    <n v="2304396.4133591549"/>
    <n v="0"/>
    <n v="0"/>
    <n v="0"/>
    <n v="0"/>
    <n v="451110.48492467229"/>
    <n v="0"/>
    <n v="0"/>
    <n v="1853285.9284344828"/>
    <n v="0"/>
    <n v="0"/>
    <n v="0"/>
    <n v="0"/>
    <n v="0"/>
    <n v="0"/>
    <n v="0"/>
    <n v="0"/>
    <n v="0"/>
    <n v="0"/>
  </r>
  <r>
    <x v="5"/>
    <x v="1"/>
    <n v="1"/>
    <x v="2"/>
    <s v="Vestdanmark"/>
    <n v="379645.45952787838"/>
    <n v="0"/>
    <n v="0"/>
    <n v="0"/>
    <n v="75929.091905575682"/>
    <n v="0"/>
    <n v="0"/>
    <n v="0"/>
    <n v="303716.36762230273"/>
    <n v="303716.36762230273"/>
    <n v="75929.091905575682"/>
    <n v="0.17251881680271708"/>
    <n v="0.21564852100339635"/>
    <n v="4.312970420067927E-2"/>
    <n v="0.17251881680271708"/>
    <n v="12987.940736484006"/>
    <n v="16234.925920605008"/>
    <n v="3246.9851841210016"/>
    <n v="12987.940736484006"/>
  </r>
  <r>
    <x v="6"/>
    <x v="2"/>
    <n v="1"/>
    <x v="2"/>
    <s v="Vestdanmark"/>
    <n v="537198.25456001912"/>
    <n v="0"/>
    <n v="0"/>
    <n v="0"/>
    <n v="267858.6677775862"/>
    <n v="101403.63851580049"/>
    <n v="0"/>
    <n v="0"/>
    <n v="167935.94826663245"/>
    <n v="167935.94826663245"/>
    <n v="267858.6677775862"/>
    <n v="0.3617340325663263"/>
    <n v="0.93870160295924698"/>
    <n v="0.57696757039292068"/>
    <n v="0.3617340325663263"/>
    <n v="50380.784479989736"/>
    <n v="130738.38481326558"/>
    <n v="80357.600333275856"/>
    <n v="50380.784479989728"/>
  </r>
  <r>
    <x v="7"/>
    <x v="10"/>
    <n v="0"/>
    <x v="2"/>
    <s v="Vestdanmark"/>
    <n v="267398.77986878838"/>
    <n v="0"/>
    <n v="0"/>
    <n v="0"/>
    <n v="0"/>
    <n v="0"/>
    <n v="0"/>
    <n v="0"/>
    <n v="267398.77986878838"/>
    <n v="0"/>
    <n v="0"/>
    <n v="0"/>
    <n v="0"/>
    <n v="0"/>
    <n v="0"/>
    <n v="0"/>
    <n v="0"/>
    <n v="0"/>
    <n v="0"/>
  </r>
  <r>
    <x v="8"/>
    <x v="2"/>
    <n v="1"/>
    <x v="2"/>
    <s v="Vestdanmark"/>
    <n v="1444.9923324342087"/>
    <n v="0"/>
    <n v="0"/>
    <n v="0"/>
    <n v="712.10734765283848"/>
    <n v="539.16699179429202"/>
    <n v="0"/>
    <n v="0"/>
    <n v="193.71799298707833"/>
    <n v="193.71799298707833"/>
    <n v="712.10734765283848"/>
    <n v="9.1103634921893068E-5"/>
    <n v="4.2600059944954648E-4"/>
    <n v="3.3489696452765344E-4"/>
    <n v="9.1103634921893041E-5"/>
    <n v="12.204233558185935"/>
    <n v="57.066996460314762"/>
    <n v="44.862762902128821"/>
    <n v="12.20423355818594"/>
  </r>
  <r>
    <x v="9"/>
    <x v="10"/>
    <n v="0"/>
    <x v="2"/>
    <s v="Vestdanmark"/>
    <n v="927.46485322482272"/>
    <n v="0"/>
    <n v="0"/>
    <n v="0"/>
    <n v="0"/>
    <n v="0"/>
    <n v="0"/>
    <n v="0"/>
    <n v="927.46485322482272"/>
    <n v="0"/>
    <n v="0"/>
    <n v="0"/>
    <n v="0"/>
    <n v="0"/>
    <n v="0"/>
    <n v="0"/>
    <n v="0"/>
    <n v="0"/>
    <n v="0"/>
  </r>
  <r>
    <x v="10"/>
    <x v="10"/>
    <n v="0"/>
    <x v="2"/>
    <s v="Vestdanmark"/>
    <n v="116828.38870778363"/>
    <n v="0"/>
    <n v="0"/>
    <n v="0"/>
    <n v="0"/>
    <n v="0"/>
    <n v="0"/>
    <n v="0"/>
    <n v="116828.38870778363"/>
    <n v="0"/>
    <n v="0"/>
    <n v="0"/>
    <n v="0"/>
    <n v="0"/>
    <n v="0"/>
    <n v="0"/>
    <n v="0"/>
    <n v="0"/>
    <n v="0"/>
  </r>
  <r>
    <x v="11"/>
    <x v="10"/>
    <n v="0"/>
    <x v="2"/>
    <s v="Vestdanmark"/>
    <n v="95084.225804193949"/>
    <n v="0"/>
    <n v="0"/>
    <n v="267978.92035102146"/>
    <n v="0"/>
    <n v="0"/>
    <n v="0"/>
    <n v="0"/>
    <n v="-172894.6945468275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"/>
    <n v="1"/>
    <x v="2"/>
    <s v="Vestdanmark"/>
    <n v="1484191.1539502868"/>
    <n v="1223768.9909258301"/>
    <n v="0"/>
    <n v="0"/>
    <n v="0"/>
    <n v="0"/>
    <n v="0"/>
    <n v="776923.6467615068"/>
    <n v="-516501.48373705009"/>
    <n v="0"/>
    <n v="0"/>
    <n v="0"/>
    <n v="0"/>
    <n v="0"/>
    <n v="0"/>
    <n v="0"/>
    <n v="0"/>
    <n v="0"/>
    <n v="0"/>
  </r>
  <r>
    <x v="14"/>
    <x v="10"/>
    <n v="0"/>
    <x v="2"/>
    <s v="Vestdanmark"/>
    <n v="129879.40736484005"/>
    <n v="129879.4073648400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520430.19403510873"/>
    <n v="0"/>
    <n v="0"/>
    <n v="280672.65868343826"/>
    <n v="0"/>
    <n v="0"/>
    <n v="0"/>
    <n v="0"/>
    <n v="239757.53535167046"/>
    <n v="0"/>
    <n v="0"/>
    <n v="0"/>
    <n v="0"/>
    <n v="0"/>
    <n v="0"/>
    <n v="0"/>
    <n v="0"/>
    <n v="0"/>
    <n v="0"/>
  </r>
  <r>
    <x v="16"/>
    <x v="5"/>
    <n v="1"/>
    <x v="2"/>
    <s v="Vestdanmark"/>
    <n v="247438.43863194692"/>
    <n v="77308.589354292635"/>
    <n v="66293.363186171628"/>
    <n v="0"/>
    <n v="0"/>
    <n v="0"/>
    <n v="103753.18781488619"/>
    <n v="0"/>
    <n v="83.298276596469805"/>
    <n v="83.298276596469805"/>
    <n v="103753.18781488619"/>
    <n v="8.6095485528476037E-4"/>
    <n v="1.0732338111777837"/>
    <n v="0"/>
    <n v="1.0732338111777837"/>
    <n v="70.803535106999334"/>
    <n v="88261.013177760251"/>
    <n v="0"/>
    <n v="88261.013177760251"/>
  </r>
  <r>
    <x v="17"/>
    <x v="1"/>
    <n v="1"/>
    <x v="2"/>
    <s v="Vestdanmark"/>
    <n v="524881.97503939818"/>
    <n v="0"/>
    <n v="0"/>
    <n v="0"/>
    <n v="0"/>
    <n v="0"/>
    <n v="524881.97503939818"/>
    <n v="0"/>
    <n v="0"/>
    <n v="0"/>
    <n v="524881.97503939818"/>
    <n v="0"/>
    <n v="9.3703087657301456"/>
    <n v="0"/>
    <n v="9.3703087657301456"/>
    <n v="0"/>
    <n v="157464.59251181944"/>
    <n v="0"/>
    <n v="157464.59251181944"/>
  </r>
  <r>
    <x v="18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1"/>
    <x v="2"/>
    <s v="Vestdanmark"/>
    <n v="217311.45572171282"/>
    <n v="0"/>
    <n v="0"/>
    <n v="0"/>
    <n v="0"/>
    <n v="0"/>
    <n v="0"/>
    <n v="0"/>
    <n v="217311.45572171282"/>
    <n v="217311.45572171282"/>
    <n v="0"/>
    <n v="0.94163878813142554"/>
    <n v="0.94163878813142554"/>
    <n v="0"/>
    <n v="0.94163878813142554"/>
    <n v="91270.811403119384"/>
    <n v="91270.811403119384"/>
    <n v="0"/>
    <n v="91270.811403119384"/>
  </r>
  <r>
    <x v="20"/>
    <x v="10"/>
    <n v="0"/>
    <x v="2"/>
    <s v="Vestdanmark"/>
    <n v="110212.84290198362"/>
    <n v="0"/>
    <n v="0"/>
    <n v="0"/>
    <n v="0"/>
    <n v="0"/>
    <n v="0"/>
    <n v="0"/>
    <n v="110212.84290198362"/>
    <n v="0"/>
    <n v="0"/>
    <n v="0"/>
    <n v="0"/>
    <n v="0"/>
    <n v="0"/>
    <n v="0"/>
    <n v="0"/>
    <n v="0"/>
    <n v="0"/>
  </r>
  <r>
    <x v="21"/>
    <x v="10"/>
    <n v="0"/>
    <x v="2"/>
    <s v="Vestdanmark"/>
    <n v="303855.43881513749"/>
    <n v="0"/>
    <n v="0"/>
    <n v="128347.79869443661"/>
    <n v="0"/>
    <n v="0"/>
    <n v="0"/>
    <n v="0"/>
    <n v="175507.64012070087"/>
    <n v="0"/>
    <n v="0"/>
    <n v="0"/>
    <n v="0"/>
    <n v="0"/>
    <n v="0"/>
    <n v="0"/>
    <n v="0"/>
    <n v="0"/>
    <n v="0"/>
  </r>
  <r>
    <x v="22"/>
    <x v="5"/>
    <n v="1"/>
    <x v="2"/>
    <s v="Vestdanmark"/>
    <n v="223399.5256268252"/>
    <n v="587921.52019956254"/>
    <n v="0"/>
    <n v="307470.55071854044"/>
    <n v="0"/>
    <n v="0"/>
    <n v="0"/>
    <n v="0"/>
    <n v="-671992.54529127781"/>
    <n v="0"/>
    <n v="0"/>
    <n v="0"/>
    <n v="0"/>
    <n v="0"/>
    <n v="0"/>
    <n v="0"/>
    <n v="0"/>
    <n v="0"/>
    <n v="0"/>
  </r>
  <r>
    <x v="23"/>
    <x v="10"/>
    <n v="0"/>
    <x v="2"/>
    <s v="Vestdanmark"/>
    <n v="0"/>
    <n v="0"/>
    <n v="0"/>
    <n v="0"/>
    <n v="0"/>
    <n v="388055.99862344295"/>
    <n v="0"/>
    <n v="0"/>
    <n v="-388055.99862344295"/>
    <n v="0"/>
    <n v="0"/>
    <n v="0"/>
    <n v="0"/>
    <n v="0"/>
    <n v="0"/>
    <n v="0"/>
    <n v="0"/>
    <n v="0"/>
    <n v="0"/>
  </r>
  <r>
    <x v="24"/>
    <x v="2"/>
    <n v="1"/>
    <x v="2"/>
    <s v="Vestdanmark"/>
    <n v="813923.80663677445"/>
    <n v="0"/>
    <n v="0"/>
    <n v="0"/>
    <n v="579009.4919217953"/>
    <n v="121134.88054679664"/>
    <n v="0"/>
    <n v="0"/>
    <n v="113779.43416818255"/>
    <n v="113779.43416818255"/>
    <n v="579009.4919217953"/>
    <n v="5.7594011781592333E-2"/>
    <n v="0.35068282649748594"/>
    <n v="0.2930888147158936"/>
    <n v="5.7594011781592347E-2"/>
    <n v="8647.236996781874"/>
    <n v="52651.958382838318"/>
    <n v="44004.721386056444"/>
    <n v="8647.236996781874"/>
  </r>
  <r>
    <x v="25"/>
    <x v="10"/>
    <n v="0"/>
    <x v="2"/>
    <s v="Vestdanmark"/>
    <n v="96985.656725070323"/>
    <n v="151571.41736670118"/>
    <n v="0"/>
    <n v="0"/>
    <n v="0"/>
    <n v="0"/>
    <n v="0"/>
    <n v="0"/>
    <n v="-54585.760641630855"/>
    <n v="0"/>
    <n v="0"/>
    <n v="0"/>
    <n v="0"/>
    <n v="0"/>
    <n v="0"/>
    <n v="0"/>
    <n v="0"/>
    <n v="0"/>
    <n v="0"/>
  </r>
  <r>
    <x v="26"/>
    <x v="4"/>
    <n v="1"/>
    <x v="2"/>
    <s v="Vestdanmark"/>
    <n v="678402.70281965565"/>
    <n v="565705.37864699645"/>
    <n v="0"/>
    <n v="0"/>
    <n v="0"/>
    <n v="0"/>
    <n v="0"/>
    <n v="0"/>
    <n v="112697.3241726592"/>
    <n v="112697.3241726592"/>
    <n v="0"/>
    <n v="0.40458339377984653"/>
    <n v="0.40458339377984653"/>
    <n v="0"/>
    <n v="0.40458339377984653"/>
    <n v="33809.197251797756"/>
    <n v="33809.197251797756"/>
    <n v="0"/>
    <n v="33809.197251797756"/>
  </r>
  <r>
    <x v="27"/>
    <x v="10"/>
    <n v="0"/>
    <x v="2"/>
    <s v="Vestdanmark"/>
    <n v="187131.9829571539"/>
    <n v="0"/>
    <n v="0"/>
    <n v="490824.54885344987"/>
    <n v="0"/>
    <n v="0"/>
    <n v="0"/>
    <n v="0"/>
    <n v="-303692.56589629594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3307.5145409244233"/>
    <n v="0"/>
    <n v="0"/>
    <n v="0"/>
    <n v="0"/>
    <n v="0"/>
    <n v="0"/>
    <n v="0"/>
    <n v="3307.5145409244233"/>
    <n v="0"/>
    <n v="0"/>
    <n v="0"/>
    <n v="0"/>
    <n v="0"/>
    <n v="0"/>
    <n v="0"/>
    <n v="0"/>
    <n v="0"/>
    <n v="0"/>
  </r>
  <r>
    <x v="30"/>
    <x v="10"/>
    <n v="0"/>
    <x v="2"/>
    <s v="Vestdanmark"/>
    <n v="231594.63465303747"/>
    <n v="0"/>
    <n v="0"/>
    <n v="0"/>
    <n v="0"/>
    <n v="0"/>
    <n v="0"/>
    <n v="0"/>
    <n v="231594.63465303747"/>
    <n v="0"/>
    <n v="0"/>
    <n v="0"/>
    <n v="0"/>
    <n v="0"/>
    <n v="0"/>
    <n v="0"/>
    <n v="0"/>
    <n v="0"/>
    <n v="0"/>
  </r>
  <r>
    <x v="31"/>
    <x v="7"/>
    <n v="1"/>
    <x v="2"/>
    <s v="Vestdanmark"/>
    <n v="19775.521846053056"/>
    <n v="0"/>
    <n v="0"/>
    <n v="0"/>
    <n v="0"/>
    <n v="0"/>
    <n v="19775.521846053056"/>
    <n v="0"/>
    <n v="0"/>
    <n v="0"/>
    <n v="19775.521846053056"/>
    <n v="0"/>
    <n v="0.36386960196737617"/>
    <n v="0"/>
    <n v="0.36386960196737617"/>
    <n v="0"/>
    <n v="8206.8415661120198"/>
    <n v="0"/>
    <n v="8206.8415661120198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310893.7909098948"/>
    <n v="0"/>
    <n v="0"/>
    <n v="0"/>
    <n v="0"/>
    <n v="0"/>
    <n v="0"/>
    <n v="0"/>
    <n v="310893.7909098948"/>
    <n v="0"/>
    <n v="0"/>
    <n v="0"/>
    <n v="0"/>
    <n v="0"/>
    <n v="0"/>
    <n v="0"/>
    <n v="0"/>
    <n v="0"/>
    <n v="0"/>
  </r>
  <r>
    <x v="35"/>
    <x v="10"/>
    <n v="0"/>
    <x v="2"/>
    <s v="Vestdanmark"/>
    <n v="69105.833019649028"/>
    <n v="0"/>
    <n v="0"/>
    <n v="0"/>
    <n v="0"/>
    <n v="0"/>
    <n v="0"/>
    <n v="69105.833019649028"/>
    <n v="0"/>
    <n v="0"/>
    <n v="0"/>
    <n v="0"/>
    <n v="0"/>
    <n v="0"/>
    <n v="0"/>
    <n v="0"/>
    <n v="0"/>
    <n v="0"/>
    <n v="0"/>
  </r>
  <r>
    <x v="36"/>
    <x v="10"/>
    <n v="0"/>
    <x v="2"/>
    <s v="Vestdanmark"/>
    <n v="34552.916509824514"/>
    <n v="21409.910609126229"/>
    <n v="0"/>
    <n v="0"/>
    <n v="0"/>
    <n v="0"/>
    <n v="0"/>
    <n v="0"/>
    <n v="13143.005900698285"/>
    <n v="0"/>
    <n v="0"/>
    <n v="0"/>
    <n v="0"/>
    <n v="0"/>
    <n v="0"/>
    <n v="0"/>
    <n v="0"/>
    <n v="0"/>
    <n v="0"/>
  </r>
  <r>
    <x v="37"/>
    <x v="9"/>
    <n v="1"/>
    <x v="2"/>
    <s v="Vestdanmark"/>
    <n v="22113.866566287688"/>
    <n v="0"/>
    <n v="0"/>
    <n v="0"/>
    <n v="0"/>
    <n v="0"/>
    <n v="22113.866566287688"/>
    <n v="0"/>
    <n v="0"/>
    <n v="0"/>
    <n v="22113.866566287688"/>
    <n v="0"/>
    <n v="0.77398532982006907"/>
    <n v="0"/>
    <n v="0.77398532982006907"/>
    <n v="0"/>
    <n v="20123.618575321798"/>
    <n v="0"/>
    <n v="20123.618575321798"/>
  </r>
  <r>
    <x v="38"/>
    <x v="4"/>
    <n v="1"/>
    <x v="2"/>
    <s v="Vestdanmark"/>
    <n v="56749.419521612363"/>
    <n v="84116.7617655629"/>
    <n v="0"/>
    <n v="0"/>
    <n v="0"/>
    <n v="0"/>
    <n v="0"/>
    <n v="0"/>
    <n v="-27367.342243950538"/>
    <n v="0"/>
    <n v="0"/>
    <n v="0"/>
    <n v="0"/>
    <n v="0"/>
    <n v="0"/>
    <n v="0"/>
    <n v="0"/>
    <n v="0"/>
    <n v="0"/>
  </r>
  <r>
    <x v="39"/>
    <x v="10"/>
    <n v="0"/>
    <x v="2"/>
    <s v="Vestdanmark"/>
    <n v="7097.640580688706"/>
    <n v="0"/>
    <n v="0"/>
    <n v="0"/>
    <n v="0"/>
    <n v="0"/>
    <n v="0"/>
    <n v="0"/>
    <n v="7097.640580688706"/>
    <n v="0"/>
    <n v="0"/>
    <n v="0"/>
    <n v="0"/>
    <n v="0"/>
    <n v="0"/>
    <n v="0"/>
    <n v="0"/>
    <n v="0"/>
    <n v="0"/>
  </r>
  <r>
    <x v="40"/>
    <x v="10"/>
    <n v="0"/>
    <x v="2"/>
    <s v="Vestdanmark"/>
    <n v="5199.2984687245571"/>
    <n v="3941.5735012617333"/>
    <n v="0"/>
    <n v="0"/>
    <n v="0"/>
    <n v="0"/>
    <n v="0"/>
    <n v="0"/>
    <n v="1257.7249674628238"/>
    <n v="0"/>
    <n v="0"/>
    <n v="0"/>
    <n v="0"/>
    <n v="0"/>
    <n v="0"/>
    <n v="0"/>
    <n v="0"/>
    <n v="0"/>
    <n v="0"/>
  </r>
  <r>
    <x v="41"/>
    <x v="1"/>
    <n v="1"/>
    <x v="2"/>
    <s v="Vestdanmark"/>
    <n v="4009618.6163458391"/>
    <n v="0"/>
    <n v="0"/>
    <n v="0"/>
    <n v="1520643.2255533286"/>
    <n v="0"/>
    <n v="0"/>
    <n v="0"/>
    <n v="2488975.3907925105"/>
    <n v="2488975.3907925105"/>
    <n v="1520643.2255533286"/>
    <n v="1.2420236097593709"/>
    <n v="2.0008397857427376"/>
    <n v="0.75881617598336659"/>
    <n v="1.2420236097593711"/>
    <n v="149338.52344755063"/>
    <n v="240577.11698075035"/>
    <n v="91238.593533199717"/>
    <n v="149338.52344755063"/>
  </r>
  <r>
    <x v="42"/>
    <x v="2"/>
    <n v="1"/>
    <x v="2"/>
    <s v="Vestdanmark"/>
    <n v="117987.52213609075"/>
    <n v="0"/>
    <n v="0"/>
    <n v="0"/>
    <n v="62533.3867321281"/>
    <n v="55454.135403962639"/>
    <n v="0"/>
    <n v="0"/>
    <n v="0"/>
    <n v="0"/>
    <n v="62533.3867321281"/>
    <n v="0"/>
    <n v="2.693938300420079E-2"/>
    <n v="2.693938300420079E-2"/>
    <n v="0"/>
    <n v="0"/>
    <n v="3126.6693366064051"/>
    <n v="3126.6693366064051"/>
    <n v="0"/>
  </r>
  <r>
    <x v="43"/>
    <x v="10"/>
    <n v="0"/>
    <x v="2"/>
    <s v="Vestdanmark"/>
    <n v="55924.401260733604"/>
    <n v="0"/>
    <n v="0"/>
    <n v="0"/>
    <n v="0"/>
    <n v="0"/>
    <n v="0"/>
    <n v="0"/>
    <n v="55924.401260733604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972.68074687720616"/>
    <n v="0"/>
    <n v="0"/>
    <n v="0"/>
    <n v="0"/>
    <n v="0"/>
    <n v="0"/>
    <n v="12527.319253122794"/>
    <n v="12527.319253122794"/>
    <n v="0"/>
    <n v="1.1243269029677708E-2"/>
    <n v="1.1243269029677708E-2"/>
    <n v="0"/>
    <n v="1.1243269029677708E-2"/>
    <n v="1879.0978879684189"/>
    <n v="1879.0978879684189"/>
    <n v="0"/>
    <n v="1879.0978879684189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82793.5895249988"/>
    <n v="0"/>
    <n v="0"/>
    <n v="0"/>
    <n v="0"/>
    <n v="0"/>
    <n v="2082793.5895249988"/>
    <n v="0"/>
    <n v="0"/>
    <n v="0"/>
    <n v="2082793.5895249988"/>
    <n v="0"/>
    <n v="30.187112395873719"/>
    <n v="0"/>
    <n v="30.187112395873719"/>
    <n v="0"/>
    <n v="1030114.9961525723"/>
    <n v="0"/>
    <n v="1030114.9961525723"/>
  </r>
  <r>
    <x v="47"/>
    <x v="10"/>
    <n v="0"/>
    <x v="2"/>
    <s v="Vestdanmark"/>
    <n v="589248.78125222854"/>
    <n v="0"/>
    <n v="0"/>
    <n v="0"/>
    <n v="0"/>
    <n v="0"/>
    <n v="0"/>
    <n v="0"/>
    <n v="589248.78125222854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6839.3191670250981"/>
    <n v="0"/>
    <n v="0"/>
    <n v="28209.340124628539"/>
    <n v="0"/>
    <n v="0"/>
    <n v="0"/>
    <n v="0"/>
    <n v="-21370.020957603439"/>
    <n v="0"/>
    <n v="0"/>
    <n v="0"/>
    <n v="0"/>
    <n v="0"/>
    <n v="0"/>
    <n v="0"/>
    <n v="0"/>
    <n v="0"/>
    <n v="0"/>
  </r>
  <r>
    <x v="1"/>
    <x v="10"/>
    <n v="0"/>
    <x v="1"/>
    <s v="Østdanmark"/>
    <n v="21216.247725388857"/>
    <n v="3958.3083768700485"/>
    <n v="0"/>
    <n v="94031.1337487618"/>
    <n v="0"/>
    <n v="0"/>
    <n v="0"/>
    <n v="0"/>
    <n v="-76773.194400242995"/>
    <n v="0"/>
    <n v="0"/>
    <n v="0"/>
    <n v="0"/>
    <n v="0"/>
    <n v="0"/>
    <n v="0"/>
    <n v="0"/>
    <n v="0"/>
    <n v="0"/>
  </r>
  <r>
    <x v="2"/>
    <x v="1"/>
    <n v="1"/>
    <x v="1"/>
    <s v="Østdanmark"/>
    <n v="201718.39486572551"/>
    <n v="0"/>
    <n v="0"/>
    <n v="0"/>
    <n v="0"/>
    <n v="0"/>
    <n v="201718.39486572551"/>
    <n v="0"/>
    <n v="0"/>
    <n v="0"/>
    <n v="201718.39486572551"/>
    <n v="0"/>
    <n v="3.6011212682192886"/>
    <n v="0"/>
    <n v="3.6011212682192886"/>
    <n v="0"/>
    <n v="56481.150562403149"/>
    <n v="0"/>
    <n v="56481.150562403149"/>
  </r>
  <r>
    <x v="3"/>
    <x v="10"/>
    <n v="1"/>
    <x v="1"/>
    <s v="Østdanmark"/>
    <n v="34271871.713504404"/>
    <n v="0"/>
    <n v="0"/>
    <n v="0"/>
    <n v="0"/>
    <n v="0"/>
    <n v="34271871.713504404"/>
    <n v="0"/>
    <n v="0"/>
    <n v="0"/>
    <n v="34271871.713504404"/>
    <n v="0"/>
    <n v="0"/>
    <n v="0"/>
    <n v="0"/>
    <n v="0"/>
    <n v="0"/>
    <n v="0"/>
    <n v="0"/>
  </r>
  <r>
    <x v="4"/>
    <x v="10"/>
    <n v="0"/>
    <x v="1"/>
    <s v="Østdanmark"/>
    <n v="1899204.5627186713"/>
    <n v="0"/>
    <n v="0"/>
    <n v="0"/>
    <n v="0"/>
    <n v="1372715.9166472442"/>
    <n v="0"/>
    <n v="0"/>
    <n v="526488.64607142704"/>
    <n v="0"/>
    <n v="0"/>
    <n v="0"/>
    <n v="0"/>
    <n v="0"/>
    <n v="0"/>
    <n v="0"/>
    <n v="0"/>
    <n v="0"/>
    <n v="0"/>
  </r>
  <r>
    <x v="5"/>
    <x v="1"/>
    <n v="1"/>
    <x v="1"/>
    <s v="Østdanmark"/>
    <n v="232990.59266414485"/>
    <n v="0"/>
    <n v="0"/>
    <n v="0"/>
    <n v="23299.059266414486"/>
    <n v="0"/>
    <n v="0"/>
    <n v="0"/>
    <n v="209691.53339773035"/>
    <n v="209691.53339773035"/>
    <n v="23299.059266414486"/>
    <n v="0.11911025908327566"/>
    <n v="0.13234473231475075"/>
    <n v="1.3234473231475075E-2"/>
    <n v="0.11911025908327567"/>
    <n v="8967.1203104174983"/>
    <n v="9963.4670115749996"/>
    <n v="996.34670115749998"/>
    <n v="8967.1203104175001"/>
  </r>
  <r>
    <x v="6"/>
    <x v="2"/>
    <n v="1"/>
    <x v="1"/>
    <s v="Østdanmark"/>
    <n v="265728.73054226203"/>
    <n v="0"/>
    <n v="0"/>
    <n v="0"/>
    <n v="132864.36527113101"/>
    <n v="50298.652566928169"/>
    <n v="0"/>
    <n v="0"/>
    <n v="82565.712704202859"/>
    <n v="82565.712704202859"/>
    <n v="132864.36527113101"/>
    <n v="0.17784654516485296"/>
    <n v="0.46403638795886915"/>
    <n v="0.28618984279401621"/>
    <n v="0.17784654516485293"/>
    <n v="24769.713811260855"/>
    <n v="64629.02339260016"/>
    <n v="39859.309581339301"/>
    <n v="24769.713811260859"/>
  </r>
  <r>
    <x v="7"/>
    <x v="10"/>
    <n v="0"/>
    <x v="1"/>
    <s v="Østdanmark"/>
    <n v="164104.16254358823"/>
    <n v="0"/>
    <n v="0"/>
    <n v="0"/>
    <n v="0"/>
    <n v="0"/>
    <n v="0"/>
    <n v="0"/>
    <n v="164104.16254358823"/>
    <n v="0"/>
    <n v="0"/>
    <n v="0"/>
    <n v="0"/>
    <n v="0"/>
    <n v="0"/>
    <n v="0"/>
    <n v="0"/>
    <n v="0"/>
    <n v="0"/>
  </r>
  <r>
    <x v="8"/>
    <x v="2"/>
    <n v="1"/>
    <x v="1"/>
    <s v="Østdanmark"/>
    <n v="454.56611706055151"/>
    <n v="0"/>
    <n v="0"/>
    <n v="0"/>
    <n v="227.28305853027575"/>
    <n v="172.0857443157802"/>
    <n v="0"/>
    <n v="0"/>
    <n v="55.197314214495577"/>
    <n v="55.197314214495577"/>
    <n v="227.28305853027575"/>
    <n v="2.5958744901935126E-5"/>
    <n v="1.3284769449813851E-4"/>
    <n v="1.0688894959620338E-4"/>
    <n v="2.5958744901935122E-5"/>
    <n v="3.4774307955132215"/>
    <n v="17.796263482920594"/>
    <n v="14.318832687407372"/>
    <n v="3.4774307955132215"/>
  </r>
  <r>
    <x v="9"/>
    <x v="10"/>
    <n v="0"/>
    <x v="1"/>
    <s v="Østdanmark"/>
    <n v="4570.0262063523087"/>
    <n v="0"/>
    <n v="0"/>
    <n v="15280.059234173792"/>
    <n v="0"/>
    <n v="0"/>
    <n v="0"/>
    <n v="0"/>
    <n v="-10710.033027821482"/>
    <n v="0"/>
    <n v="0"/>
    <n v="0"/>
    <n v="0"/>
    <n v="0"/>
    <n v="0"/>
    <n v="0"/>
    <n v="0"/>
    <n v="0"/>
    <n v="0"/>
  </r>
  <r>
    <x v="10"/>
    <x v="10"/>
    <n v="0"/>
    <x v="1"/>
    <s v="Østdanmark"/>
    <n v="459859.53361816495"/>
    <n v="0"/>
    <n v="0"/>
    <n v="0"/>
    <n v="0"/>
    <n v="0"/>
    <n v="0"/>
    <n v="0"/>
    <n v="459859.53361816495"/>
    <n v="0"/>
    <n v="0"/>
    <n v="0"/>
    <n v="0"/>
    <n v="0"/>
    <n v="0"/>
    <n v="0"/>
    <n v="0"/>
    <n v="0"/>
    <n v="0"/>
  </r>
  <r>
    <x v="11"/>
    <x v="10"/>
    <n v="0"/>
    <x v="1"/>
    <s v="Østdanmark"/>
    <n v="155683.78957542713"/>
    <n v="0"/>
    <n v="0"/>
    <n v="223323.94265330929"/>
    <n v="0"/>
    <n v="0"/>
    <n v="0"/>
    <n v="0"/>
    <n v="-67640.153077882162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"/>
    <n v="1"/>
    <x v="1"/>
    <s v="Østdanmark"/>
    <n v="1666396.9094630885"/>
    <n v="751034.03800585715"/>
    <n v="0"/>
    <n v="0"/>
    <n v="0"/>
    <n v="0"/>
    <n v="0"/>
    <n v="476802.49130033312"/>
    <n v="438560.38015689817"/>
    <n v="438560.38015689817"/>
    <n v="0"/>
    <n v="0.80689627944117304"/>
    <n v="0.80689627944117304"/>
    <n v="0"/>
    <n v="0.80689627944117304"/>
    <n v="122796.9064439315"/>
    <n v="122796.9064439315"/>
    <n v="0"/>
    <n v="122796.9064439315"/>
  </r>
  <r>
    <x v="14"/>
    <x v="10"/>
    <n v="0"/>
    <x v="1"/>
    <s v="Østdanmark"/>
    <n v="79707.736092599996"/>
    <n v="79707.7360925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76027.405090946413"/>
    <n v="0"/>
    <n v="0"/>
    <n v="233902.44520004498"/>
    <n v="0"/>
    <n v="0"/>
    <n v="0"/>
    <n v="0"/>
    <n v="-157875.04010909857"/>
    <n v="0"/>
    <n v="0"/>
    <n v="0"/>
    <n v="0"/>
    <n v="0"/>
    <n v="0"/>
    <n v="0"/>
    <n v="0"/>
    <n v="0"/>
    <n v="0"/>
  </r>
  <r>
    <x v="16"/>
    <x v="5"/>
    <n v="1"/>
    <x v="1"/>
    <s v="Østdanmark"/>
    <n v="720937.14353414183"/>
    <n v="47444.724017206274"/>
    <n v="49668.819226303865"/>
    <n v="0"/>
    <n v="0"/>
    <n v="0"/>
    <n v="623823.60029063176"/>
    <n v="0"/>
    <n v="0"/>
    <n v="0"/>
    <n v="623823.60029063176"/>
    <n v="0"/>
    <n v="6.4477199223855344"/>
    <n v="0"/>
    <n v="6.4477199223855344"/>
    <n v="0"/>
    <n v="530250.06024703698"/>
    <n v="0"/>
    <n v="530250.06024703698"/>
  </r>
  <r>
    <x v="17"/>
    <x v="1"/>
    <n v="1"/>
    <x v="1"/>
    <s v="Østdanmark"/>
    <n v="456074.89013160887"/>
    <n v="0"/>
    <n v="0"/>
    <n v="0"/>
    <n v="0"/>
    <n v="0"/>
    <n v="456074.89013160887"/>
    <n v="0"/>
    <n v="0"/>
    <n v="0"/>
    <n v="456074.89013160887"/>
    <n v="0"/>
    <n v="8.1419495125715642"/>
    <n v="0"/>
    <n v="8.1419495125715642"/>
    <n v="0"/>
    <n v="136822.46703948267"/>
    <n v="0"/>
    <n v="136822.46703948267"/>
  </r>
  <r>
    <x v="18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1"/>
    <x v="1"/>
    <s v="Østdanmark"/>
    <n v="182710.20154485604"/>
    <n v="0"/>
    <n v="0"/>
    <n v="0"/>
    <n v="0"/>
    <n v="0"/>
    <n v="0"/>
    <n v="0"/>
    <n v="182710.20154485604"/>
    <n v="182710.20154485604"/>
    <n v="0"/>
    <n v="0.79170705562006216"/>
    <n v="0.79170705562006216"/>
    <n v="0"/>
    <n v="0.79170705562006216"/>
    <n v="76738.28464883953"/>
    <n v="76738.28464883953"/>
    <n v="0"/>
    <n v="76738.28464883953"/>
  </r>
  <r>
    <x v="20"/>
    <x v="10"/>
    <n v="0"/>
    <x v="1"/>
    <s v="Østdanmark"/>
    <n v="114135.60173881784"/>
    <n v="0"/>
    <n v="0"/>
    <n v="0"/>
    <n v="0"/>
    <n v="0"/>
    <n v="0"/>
    <n v="0"/>
    <n v="114135.60173881784"/>
    <n v="0"/>
    <n v="0"/>
    <n v="0"/>
    <n v="0"/>
    <n v="0"/>
    <n v="0"/>
    <n v="0"/>
    <n v="0"/>
    <n v="0"/>
    <n v="0"/>
  </r>
  <r>
    <x v="21"/>
    <x v="10"/>
    <n v="0"/>
    <x v="1"/>
    <s v="Østdanmark"/>
    <n v="90433.089420305812"/>
    <n v="0"/>
    <n v="0"/>
    <n v="106960.41463921656"/>
    <n v="0"/>
    <n v="0"/>
    <n v="0"/>
    <n v="0"/>
    <n v="-16527.325218910744"/>
    <n v="0"/>
    <n v="0"/>
    <n v="0"/>
    <n v="0"/>
    <n v="0"/>
    <n v="0"/>
    <n v="0"/>
    <n v="0"/>
    <n v="0"/>
    <n v="0"/>
  </r>
  <r>
    <x v="22"/>
    <x v="5"/>
    <n v="1"/>
    <x v="1"/>
    <s v="Østdanmark"/>
    <n v="1880453.021446147"/>
    <n v="360810.80385275168"/>
    <n v="0"/>
    <n v="256234.83946537593"/>
    <n v="0"/>
    <n v="0"/>
    <n v="0"/>
    <n v="0"/>
    <n v="1263407.3781280194"/>
    <n v="195159.40515559562"/>
    <n v="0"/>
    <n v="0.66839364034119331"/>
    <n v="0.66839364034119331"/>
    <n v="0"/>
    <n v="0.66839364034119331"/>
    <n v="60499.415598234642"/>
    <n v="60499.415598234642"/>
    <n v="0"/>
    <n v="60499.415598234642"/>
  </r>
  <r>
    <x v="23"/>
    <x v="10"/>
    <n v="0"/>
    <x v="1"/>
    <s v="Østdanmark"/>
    <n v="0"/>
    <n v="0"/>
    <n v="0"/>
    <n v="0"/>
    <n v="0"/>
    <n v="350478.15596621751"/>
    <n v="0"/>
    <n v="0"/>
    <n v="-350478.15596621751"/>
    <n v="0"/>
    <n v="0"/>
    <n v="0"/>
    <n v="0"/>
    <n v="0"/>
    <n v="0"/>
    <n v="0"/>
    <n v="0"/>
    <n v="0"/>
    <n v="0"/>
  </r>
  <r>
    <x v="24"/>
    <x v="2"/>
    <n v="1"/>
    <x v="1"/>
    <s v="Østdanmark"/>
    <n v="380945.09176051564"/>
    <n v="0"/>
    <n v="0"/>
    <n v="0"/>
    <n v="289518.26973799191"/>
    <n v="60570.269589921976"/>
    <n v="0"/>
    <n v="0"/>
    <n v="30856.552432601748"/>
    <n v="30856.552432601748"/>
    <n v="289518.26973799191"/>
    <n v="1.561927827585868E-2"/>
    <n v="0.16217053123453282"/>
    <n v="0.14655125295867413"/>
    <n v="1.5619278275858683E-2"/>
    <n v="2345.0979848777329"/>
    <n v="24348.486484965117"/>
    <n v="22003.388500087385"/>
    <n v="2345.0979848777315"/>
  </r>
  <r>
    <x v="25"/>
    <x v="10"/>
    <n v="0"/>
    <x v="1"/>
    <s v="Østdanmark"/>
    <n v="47841.213402714107"/>
    <n v="93020.246856446116"/>
    <n v="0"/>
    <n v="0"/>
    <n v="0"/>
    <n v="0"/>
    <n v="0"/>
    <n v="0"/>
    <n v="-45179.033453732009"/>
    <n v="0"/>
    <n v="0"/>
    <n v="0"/>
    <n v="0"/>
    <n v="0"/>
    <n v="0"/>
    <n v="0"/>
    <n v="0"/>
    <n v="0"/>
    <n v="0"/>
  </r>
  <r>
    <x v="26"/>
    <x v="4"/>
    <n v="1"/>
    <x v="1"/>
    <s v="Østdanmark"/>
    <n v="324811.4917880242"/>
    <n v="347176.63055464375"/>
    <n v="0"/>
    <n v="0"/>
    <n v="0"/>
    <n v="0"/>
    <n v="0"/>
    <n v="0"/>
    <n v="-22365.138766619551"/>
    <n v="0"/>
    <n v="0"/>
    <n v="0"/>
    <n v="0"/>
    <n v="0"/>
    <n v="0"/>
    <n v="0"/>
    <n v="0"/>
    <n v="0"/>
    <n v="0"/>
  </r>
  <r>
    <x v="27"/>
    <x v="10"/>
    <n v="0"/>
    <x v="1"/>
    <s v="Østdanmark"/>
    <n v="92308.712787341981"/>
    <n v="0"/>
    <n v="0"/>
    <n v="409035.43180711387"/>
    <n v="0"/>
    <n v="0"/>
    <n v="0"/>
    <n v="0"/>
    <n v="-316726.719019771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2676.8401917201513"/>
    <n v="0"/>
    <n v="0"/>
    <n v="25987.85458981404"/>
    <n v="0"/>
    <n v="0"/>
    <n v="0"/>
    <n v="0"/>
    <n v="-23311.014398093888"/>
    <n v="0"/>
    <n v="0"/>
    <n v="0"/>
    <n v="0"/>
    <n v="0"/>
    <n v="0"/>
    <n v="0"/>
    <n v="0"/>
    <n v="0"/>
    <n v="0"/>
  </r>
  <r>
    <x v="30"/>
    <x v="10"/>
    <n v="0"/>
    <x v="1"/>
    <s v="Østdanmark"/>
    <n v="309933.53039763391"/>
    <n v="0"/>
    <n v="0"/>
    <n v="0"/>
    <n v="0"/>
    <n v="0"/>
    <n v="0"/>
    <n v="0"/>
    <n v="309933.53039763391"/>
    <n v="0"/>
    <n v="0"/>
    <n v="0"/>
    <n v="0"/>
    <n v="0"/>
    <n v="0"/>
    <n v="0"/>
    <n v="0"/>
    <n v="0"/>
    <n v="0"/>
  </r>
  <r>
    <x v="31"/>
    <x v="7"/>
    <n v="1"/>
    <x v="1"/>
    <s v="Østdanmark"/>
    <n v="26464.763790340134"/>
    <n v="0"/>
    <n v="0"/>
    <n v="0"/>
    <n v="0"/>
    <n v="0"/>
    <n v="26464.763790340134"/>
    <n v="0"/>
    <n v="0"/>
    <n v="0"/>
    <n v="26464.763790340134"/>
    <n v="0"/>
    <n v="0.48695165374225835"/>
    <n v="0"/>
    <n v="0.48695165374225835"/>
    <n v="0"/>
    <n v="10982.876972991156"/>
    <n v="0"/>
    <n v="10982.876972991156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143743.51404108317"/>
    <n v="0"/>
    <n v="0"/>
    <n v="0"/>
    <n v="0"/>
    <n v="0"/>
    <n v="0"/>
    <n v="0"/>
    <n v="143743.51404108317"/>
    <n v="0"/>
    <n v="0"/>
    <n v="0"/>
    <n v="0"/>
    <n v="0"/>
    <n v="0"/>
    <n v="0"/>
    <n v="0"/>
    <n v="0"/>
    <n v="0"/>
  </r>
  <r>
    <x v="35"/>
    <x v="10"/>
    <n v="0"/>
    <x v="1"/>
    <s v="Østdanmark"/>
    <n v="151456.7046357762"/>
    <n v="0"/>
    <n v="0"/>
    <n v="0"/>
    <n v="0"/>
    <n v="0"/>
    <n v="0"/>
    <n v="151456.7046357762"/>
    <n v="0"/>
    <n v="0"/>
    <n v="0"/>
    <n v="0"/>
    <n v="0"/>
    <n v="0"/>
    <n v="0"/>
    <n v="0"/>
    <n v="0"/>
    <n v="0"/>
    <n v="0"/>
  </r>
  <r>
    <x v="36"/>
    <x v="10"/>
    <n v="0"/>
    <x v="1"/>
    <s v="Østdanmark"/>
    <n v="75728.352317888101"/>
    <n v="13139.384750999187"/>
    <n v="0"/>
    <n v="0"/>
    <n v="0"/>
    <n v="0"/>
    <n v="0"/>
    <n v="0"/>
    <n v="62588.96756688891"/>
    <n v="0"/>
    <n v="0"/>
    <n v="0"/>
    <n v="0"/>
    <n v="0"/>
    <n v="0"/>
    <n v="0"/>
    <n v="0"/>
    <n v="0"/>
    <n v="0"/>
  </r>
  <r>
    <x v="37"/>
    <x v="9"/>
    <n v="1"/>
    <x v="1"/>
    <s v="Østdanmark"/>
    <n v="48466.145483448388"/>
    <n v="0"/>
    <n v="0"/>
    <n v="0"/>
    <n v="0"/>
    <n v="0"/>
    <n v="48466.145483448388"/>
    <n v="0"/>
    <n v="0"/>
    <n v="0"/>
    <n v="48466.145483448388"/>
    <n v="0"/>
    <n v="1.6963150919206935"/>
    <n v="0"/>
    <n v="1.6963150919206935"/>
    <n v="0"/>
    <n v="44104.192389938034"/>
    <n v="0"/>
    <n v="44104.192389938034"/>
  </r>
  <r>
    <x v="38"/>
    <x v="4"/>
    <n v="1"/>
    <x v="1"/>
    <s v="Østdanmark"/>
    <n v="426968.23377582035"/>
    <n v="51622.938415013545"/>
    <n v="0"/>
    <n v="0"/>
    <n v="0"/>
    <n v="0"/>
    <n v="0"/>
    <n v="0"/>
    <n v="375345.29536080681"/>
    <n v="199263.33288089724"/>
    <n v="0"/>
    <n v="0.5408086559720704"/>
    <n v="0.5408086559720704"/>
    <n v="0"/>
    <n v="0.5408086559720704"/>
    <n v="39852.66657617945"/>
    <n v="39852.66657617945"/>
    <n v="0"/>
    <n v="39852.66657617945"/>
  </r>
  <r>
    <x v="39"/>
    <x v="10"/>
    <n v="0"/>
    <x v="1"/>
    <s v="Østdanmark"/>
    <n v="8344.0617622018926"/>
    <n v="0"/>
    <n v="0"/>
    <n v="0"/>
    <n v="0"/>
    <n v="0"/>
    <n v="0"/>
    <n v="0"/>
    <n v="8344.0617622018926"/>
    <n v="0"/>
    <n v="0"/>
    <n v="0"/>
    <n v="0"/>
    <n v="0"/>
    <n v="0"/>
    <n v="0"/>
    <n v="0"/>
    <n v="0"/>
    <n v="0"/>
  </r>
  <r>
    <x v="40"/>
    <x v="10"/>
    <n v="0"/>
    <x v="1"/>
    <s v="Østdanmark"/>
    <n v="6842.7362268510151"/>
    <n v="2418.9662303094738"/>
    <n v="0"/>
    <n v="0"/>
    <n v="0"/>
    <n v="0"/>
    <n v="0"/>
    <n v="0"/>
    <n v="4423.7699965415413"/>
    <n v="0"/>
    <n v="0"/>
    <n v="0"/>
    <n v="0"/>
    <n v="0"/>
    <n v="0"/>
    <n v="0"/>
    <n v="0"/>
    <n v="0"/>
    <n v="0"/>
  </r>
  <r>
    <x v="41"/>
    <x v="1"/>
    <n v="1"/>
    <x v="1"/>
    <s v="Østdanmark"/>
    <n v="3338993.6511468254"/>
    <n v="0"/>
    <n v="0"/>
    <n v="0"/>
    <n v="1266309.4826732657"/>
    <n v="0"/>
    <n v="0"/>
    <n v="0"/>
    <n v="2072684.1684735597"/>
    <n v="2072684.1684735597"/>
    <n v="1266309.4826732657"/>
    <n v="1.0342901269099911"/>
    <n v="1.6661912218587775"/>
    <n v="0.63190109494878643"/>
    <n v="1.0342901269099911"/>
    <n v="124361.05010841358"/>
    <n v="200339.61906880952"/>
    <n v="75978.568960395947"/>
    <n v="124361.05010841358"/>
  </r>
  <r>
    <x v="42"/>
    <x v="2"/>
    <n v="1"/>
    <x v="1"/>
    <s v="Østdanmark"/>
    <n v="667370.23542098131"/>
    <n v="0"/>
    <n v="0"/>
    <n v="0"/>
    <n v="353706.22477312014"/>
    <n v="313664.01064786117"/>
    <n v="0"/>
    <n v="0"/>
    <n v="0"/>
    <n v="0"/>
    <n v="353706.22477312014"/>
    <n v="0"/>
    <n v="0.15237664163226017"/>
    <n v="0.15237664163226017"/>
    <n v="0"/>
    <n v="0"/>
    <n v="17685.311238656006"/>
    <n v="17685.311238656006"/>
    <n v="0"/>
  </r>
  <r>
    <x v="43"/>
    <x v="10"/>
    <n v="0"/>
    <x v="1"/>
    <s v="Østdanmark"/>
    <n v="74804.649769203446"/>
    <n v="0"/>
    <n v="0"/>
    <n v="52763.219924773963"/>
    <n v="0"/>
    <n v="0"/>
    <n v="0"/>
    <n v="0"/>
    <n v="22041.42984442948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596.93974470220587"/>
    <n v="0"/>
    <n v="0"/>
    <n v="0"/>
    <n v="0"/>
    <n v="0"/>
    <n v="0"/>
    <n v="3903.0602552977944"/>
    <n v="3903.0602552977944"/>
    <n v="0"/>
    <n v="3.5029965791297706E-3"/>
    <n v="3.5029965791297706E-3"/>
    <n v="0"/>
    <n v="3.5029965791297706E-3"/>
    <n v="585.45903829466909"/>
    <n v="585.45903829466909"/>
    <n v="0"/>
    <n v="585.45903829466909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840.73625530320862"/>
    <n v="0"/>
    <n v="0"/>
    <n v="29532.002020101954"/>
    <n v="0"/>
    <n v="0"/>
    <n v="0"/>
    <n v="0"/>
    <n v="-28691.265764798747"/>
    <n v="0"/>
    <n v="0"/>
    <n v="0"/>
    <n v="0"/>
    <n v="0"/>
    <n v="0"/>
    <n v="0"/>
    <n v="0"/>
    <n v="0"/>
    <n v="0"/>
  </r>
  <r>
    <x v="1"/>
    <x v="10"/>
    <n v="0"/>
    <x v="2"/>
    <s v="Østdanmark"/>
    <n v="12303.077662840105"/>
    <n v="791.66167537400975"/>
    <n v="0"/>
    <n v="196880.01346734638"/>
    <n v="0"/>
    <n v="0"/>
    <n v="0"/>
    <n v="0"/>
    <n v="-185368.59747988029"/>
    <n v="0"/>
    <n v="0"/>
    <n v="0"/>
    <n v="0"/>
    <n v="0"/>
    <n v="0"/>
    <n v="0"/>
    <n v="0"/>
    <n v="0"/>
    <n v="0"/>
  </r>
  <r>
    <x v="2"/>
    <x v="1"/>
    <n v="1"/>
    <x v="2"/>
    <s v="Østdanmark"/>
    <n v="256735.432171672"/>
    <n v="0"/>
    <n v="0"/>
    <n v="0"/>
    <n v="0"/>
    <n v="0"/>
    <n v="256735.432171672"/>
    <n v="0"/>
    <n v="0"/>
    <n v="0"/>
    <n v="256735.432171672"/>
    <n v="0"/>
    <n v="4.5832975505991831"/>
    <n v="0"/>
    <n v="4.5832975505991831"/>
    <n v="0"/>
    <n v="71885.921008068166"/>
    <n v="0"/>
    <n v="71885.921008068166"/>
  </r>
  <r>
    <x v="3"/>
    <x v="10"/>
    <n v="1"/>
    <x v="2"/>
    <s v="Østdanmark"/>
    <n v="21554105.414743334"/>
    <n v="0"/>
    <n v="0"/>
    <n v="0"/>
    <n v="0"/>
    <n v="0"/>
    <n v="21554105.414743334"/>
    <n v="0"/>
    <n v="0"/>
    <n v="0"/>
    <n v="21554105.414743334"/>
    <n v="0"/>
    <n v="0"/>
    <n v="0"/>
    <n v="0"/>
    <n v="0"/>
    <n v="0"/>
    <n v="0"/>
    <n v="0"/>
  </r>
  <r>
    <x v="4"/>
    <x v="10"/>
    <n v="0"/>
    <x v="2"/>
    <s v="Østdanmark"/>
    <n v="1307700.1887853292"/>
    <n v="0"/>
    <n v="0"/>
    <n v="0"/>
    <n v="0"/>
    <n v="255996.43484911678"/>
    <n v="0"/>
    <n v="0"/>
    <n v="1051703.7539362125"/>
    <n v="0"/>
    <n v="0"/>
    <n v="0"/>
    <n v="0"/>
    <n v="0"/>
    <n v="0"/>
    <n v="0"/>
    <n v="0"/>
    <n v="0"/>
    <n v="0"/>
  </r>
  <r>
    <x v="5"/>
    <x v="1"/>
    <n v="1"/>
    <x v="2"/>
    <s v="Østdanmark"/>
    <n v="46598.118532828979"/>
    <n v="0"/>
    <n v="0"/>
    <n v="0"/>
    <n v="9319.623706565797"/>
    <n v="0"/>
    <n v="0"/>
    <n v="0"/>
    <n v="37278.494826263181"/>
    <n v="37278.494826263181"/>
    <n v="9319.623706565797"/>
    <n v="2.1175157170360122E-2"/>
    <n v="2.6468946462950154E-2"/>
    <n v="5.2937892925900313E-3"/>
    <n v="2.1175157170360122E-2"/>
    <n v="1594.1547218520002"/>
    <n v="1992.6934023150004"/>
    <n v="398.53868046300011"/>
    <n v="1594.1547218520004"/>
  </r>
  <r>
    <x v="6"/>
    <x v="2"/>
    <n v="1"/>
    <x v="2"/>
    <s v="Østdanmark"/>
    <n v="77010.667859618014"/>
    <n v="0"/>
    <n v="0"/>
    <n v="0"/>
    <n v="38449.746444112672"/>
    <n v="14555.975439556938"/>
    <n v="0"/>
    <n v="0"/>
    <n v="24004.945975948402"/>
    <n v="24004.945975948402"/>
    <n v="38449.746444112672"/>
    <n v="5.1706653632192859E-2"/>
    <n v="0.13452740747281156"/>
    <n v="8.2820753840618697E-2"/>
    <n v="5.1706653632192859E-2"/>
    <n v="7201.4837927845201"/>
    <n v="18736.407726018322"/>
    <n v="11534.923933233802"/>
    <n v="7201.4837927845201"/>
  </r>
  <r>
    <x v="7"/>
    <x v="10"/>
    <n v="0"/>
    <x v="2"/>
    <s v="Østdanmark"/>
    <n v="32820.832508717656"/>
    <n v="0"/>
    <n v="0"/>
    <n v="0"/>
    <n v="0"/>
    <n v="0"/>
    <n v="0"/>
    <n v="0"/>
    <n v="32820.832508717656"/>
    <n v="0"/>
    <n v="0"/>
    <n v="0"/>
    <n v="0"/>
    <n v="0"/>
    <n v="0"/>
    <n v="0"/>
    <n v="0"/>
    <n v="0"/>
    <n v="0"/>
  </r>
  <r>
    <x v="8"/>
    <x v="2"/>
    <n v="1"/>
    <x v="2"/>
    <s v="Østdanmark"/>
    <n v="121.27767309664802"/>
    <n v="0"/>
    <n v="0"/>
    <n v="0"/>
    <n v="59.766906840866696"/>
    <n v="45.252086608084781"/>
    <n v="0"/>
    <n v="0"/>
    <n v="16.258679647696539"/>
    <n v="16.258679647696539"/>
    <n v="59.766906840866696"/>
    <n v="7.6462944515152055E-6"/>
    <n v="3.5754073069706404E-5"/>
    <n v="2.81077786181912E-5"/>
    <n v="7.6462944515152038E-6"/>
    <n v="1.0242968178048819"/>
    <n v="4.7896119487794842"/>
    <n v="3.765315130974602"/>
    <n v="1.0242968178048821"/>
  </r>
  <r>
    <x v="9"/>
    <x v="10"/>
    <n v="0"/>
    <x v="2"/>
    <s v="Østdanmark"/>
    <n v="77.841782792402455"/>
    <n v="0"/>
    <n v="0"/>
    <n v="0"/>
    <n v="0"/>
    <n v="0"/>
    <n v="0"/>
    <n v="0"/>
    <n v="77.841782792402455"/>
    <n v="0"/>
    <n v="0"/>
    <n v="0"/>
    <n v="0"/>
    <n v="0"/>
    <n v="0"/>
    <n v="0"/>
    <n v="0"/>
    <n v="0"/>
    <n v="0"/>
  </r>
  <r>
    <x v="10"/>
    <x v="10"/>
    <n v="0"/>
    <x v="2"/>
    <s v="Østdanmark"/>
    <n v="266667.67985232966"/>
    <n v="0"/>
    <n v="0"/>
    <n v="0"/>
    <n v="0"/>
    <n v="0"/>
    <n v="0"/>
    <n v="0"/>
    <n v="266667.67985232966"/>
    <n v="0"/>
    <n v="0"/>
    <n v="0"/>
    <n v="0"/>
    <n v="0"/>
    <n v="0"/>
    <n v="0"/>
    <n v="0"/>
    <n v="0"/>
    <n v="0"/>
  </r>
  <r>
    <x v="11"/>
    <x v="10"/>
    <n v="0"/>
    <x v="2"/>
    <s v="Østdanmark"/>
    <n v="90279.382989087491"/>
    <n v="0"/>
    <n v="0"/>
    <n v="233795.01599247381"/>
    <n v="0"/>
    <n v="0"/>
    <n v="0"/>
    <n v="0"/>
    <n v="-143515.63300338632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"/>
    <n v="1"/>
    <x v="2"/>
    <s v="Østdanmark"/>
    <n v="1213195.5563066429"/>
    <n v="150206.80760117146"/>
    <n v="0"/>
    <n v="0"/>
    <n v="0"/>
    <n v="0"/>
    <n v="0"/>
    <n v="95360.498260066641"/>
    <n v="967628.25044540479"/>
    <n v="451126.7667083547"/>
    <n v="0"/>
    <n v="0.83001685989753415"/>
    <n v="0.83001685989753415"/>
    <n v="0"/>
    <n v="0.83001685989753415"/>
    <n v="126315.49467833932"/>
    <n v="126315.49467833932"/>
    <n v="0"/>
    <n v="126315.49467833932"/>
  </r>
  <r>
    <x v="14"/>
    <x v="10"/>
    <n v="0"/>
    <x v="2"/>
    <s v="Østdanmark"/>
    <n v="15941.547218520003"/>
    <n v="15941.54721852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44087.488110293329"/>
    <n v="0"/>
    <n v="0"/>
    <n v="244869.51675001203"/>
    <n v="0"/>
    <n v="0"/>
    <n v="0"/>
    <n v="0"/>
    <n v="-200782.02863971872"/>
    <n v="0"/>
    <n v="0"/>
    <n v="0"/>
    <n v="0"/>
    <n v="0"/>
    <n v="0"/>
    <n v="0"/>
    <n v="0"/>
    <n v="0"/>
    <n v="0"/>
  </r>
  <r>
    <x v="16"/>
    <x v="5"/>
    <n v="1"/>
    <x v="2"/>
    <s v="Østdanmark"/>
    <n v="451761.84985706571"/>
    <n v="9488.9448034412562"/>
    <n v="9360.7198522107701"/>
    <n v="0"/>
    <n v="0"/>
    <n v="0"/>
    <n v="432905.92040787602"/>
    <n v="0"/>
    <n v="6.2647935376735404"/>
    <n v="6.2647935376735404"/>
    <n v="432905.92040787602"/>
    <n v="6.4751692760054187E-5"/>
    <n v="4.4744965080932815"/>
    <n v="0"/>
    <n v="4.4744965080932815"/>
    <n v="5.3250745070225092"/>
    <n v="367975.35742120165"/>
    <n v="0"/>
    <n v="367975.35742120165"/>
  </r>
  <r>
    <x v="17"/>
    <x v="1"/>
    <n v="1"/>
    <x v="2"/>
    <s v="Østdanmark"/>
    <n v="457927.02496060182"/>
    <n v="0"/>
    <n v="0"/>
    <n v="0"/>
    <n v="0"/>
    <n v="0"/>
    <n v="457927.02496060182"/>
    <n v="0"/>
    <n v="0"/>
    <n v="0"/>
    <n v="457927.02496060182"/>
    <n v="0"/>
    <n v="8.1750142319727654"/>
    <n v="0"/>
    <n v="8.1750142319727654"/>
    <n v="0"/>
    <n v="137378.10748818054"/>
    <n v="0"/>
    <n v="137378.10748818054"/>
  </r>
  <r>
    <x v="18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1"/>
    <x v="2"/>
    <s v="Østdanmark"/>
    <n v="168720.33202425789"/>
    <n v="0"/>
    <n v="0"/>
    <n v="0"/>
    <n v="0"/>
    <n v="0"/>
    <n v="0"/>
    <n v="0"/>
    <n v="168720.33202425789"/>
    <n v="168720.33202425789"/>
    <n v="0"/>
    <n v="0.73108713230427269"/>
    <n v="0.73108713230427269"/>
    <n v="0"/>
    <n v="0.73108713230427269"/>
    <n v="70862.539450188313"/>
    <n v="70862.539450188313"/>
    <n v="0"/>
    <n v="70862.539450188313"/>
  </r>
  <r>
    <x v="20"/>
    <x v="10"/>
    <n v="0"/>
    <x v="2"/>
    <s v="Østdanmark"/>
    <n v="66186.028296006189"/>
    <n v="0"/>
    <n v="0"/>
    <n v="0"/>
    <n v="0"/>
    <n v="0"/>
    <n v="0"/>
    <n v="0"/>
    <n v="66186.028296006189"/>
    <n v="0"/>
    <n v="0"/>
    <n v="0"/>
    <n v="0"/>
    <n v="0"/>
    <n v="0"/>
    <n v="0"/>
    <n v="0"/>
    <n v="0"/>
    <n v="0"/>
  </r>
  <r>
    <x v="21"/>
    <x v="10"/>
    <n v="0"/>
    <x v="2"/>
    <s v="Østdanmark"/>
    <n v="52441.192091529192"/>
    <n v="0"/>
    <n v="0"/>
    <n v="111975.50765955324"/>
    <n v="0"/>
    <n v="0"/>
    <n v="0"/>
    <n v="0"/>
    <n v="-59534.315568024052"/>
    <n v="0"/>
    <n v="0"/>
    <n v="0"/>
    <n v="0"/>
    <n v="0"/>
    <n v="0"/>
    <n v="0"/>
    <n v="0"/>
    <n v="0"/>
    <n v="0"/>
  </r>
  <r>
    <x v="22"/>
    <x v="5"/>
    <n v="1"/>
    <x v="2"/>
    <s v="Østdanmark"/>
    <n v="1205010.4251037105"/>
    <n v="72162.160770550341"/>
    <n v="0"/>
    <n v="268249.01834925939"/>
    <n v="0"/>
    <n v="0"/>
    <n v="0"/>
    <n v="0"/>
    <n v="864599.24598390074"/>
    <n v="192606.70069262292"/>
    <n v="0"/>
    <n v="0.65965098493413665"/>
    <n v="0.65965098493413665"/>
    <n v="0"/>
    <n v="0.65965098493413665"/>
    <n v="59708.077214713107"/>
    <n v="59708.077214713107"/>
    <n v="0"/>
    <n v="59708.077214713107"/>
  </r>
  <r>
    <x v="23"/>
    <x v="10"/>
    <n v="0"/>
    <x v="2"/>
    <s v="Østdanmark"/>
    <n v="0"/>
    <n v="0"/>
    <n v="0"/>
    <n v="0"/>
    <n v="0"/>
    <n v="255797.41629795096"/>
    <n v="0"/>
    <n v="0"/>
    <n v="-255797.41629795096"/>
    <n v="0"/>
    <n v="0"/>
    <n v="0"/>
    <n v="0"/>
    <n v="0"/>
    <n v="0"/>
    <n v="0"/>
    <n v="0"/>
    <n v="0"/>
    <n v="0"/>
  </r>
  <r>
    <x v="24"/>
    <x v="2"/>
    <n v="1"/>
    <x v="2"/>
    <s v="Østdanmark"/>
    <n v="57848.828619790736"/>
    <n v="0"/>
    <n v="0"/>
    <n v="0"/>
    <n v="41152.526310566187"/>
    <n v="8609.541688657926"/>
    <n v="0"/>
    <n v="0"/>
    <n v="8086.7606205666234"/>
    <n v="8086.7606205666234"/>
    <n v="41152.526310566187"/>
    <n v="4.0934373585246198E-3"/>
    <n v="2.4924434651670123E-2"/>
    <n v="2.0830997293145501E-2"/>
    <n v="4.0934373585246216E-3"/>
    <n v="614.59380716306339"/>
    <n v="3742.1858067660937"/>
    <n v="3127.5919996030302"/>
    <n v="614.5938071630635"/>
  </r>
  <r>
    <x v="25"/>
    <x v="10"/>
    <n v="0"/>
    <x v="2"/>
    <s v="Østdanmark"/>
    <n v="6893.1595177805384"/>
    <n v="18604.049371289228"/>
    <n v="0"/>
    <n v="0"/>
    <n v="0"/>
    <n v="0"/>
    <n v="0"/>
    <n v="0"/>
    <n v="-11710.889853508688"/>
    <n v="0"/>
    <n v="0"/>
    <n v="0"/>
    <n v="0"/>
    <n v="0"/>
    <n v="0"/>
    <n v="0"/>
    <n v="0"/>
    <n v="0"/>
    <n v="0"/>
  </r>
  <r>
    <x v="26"/>
    <x v="4"/>
    <n v="1"/>
    <x v="2"/>
    <s v="Østdanmark"/>
    <n v="235303.4925381059"/>
    <n v="69435.326110928756"/>
    <n v="0"/>
    <n v="0"/>
    <n v="0"/>
    <n v="0"/>
    <n v="0"/>
    <n v="0"/>
    <n v="165868.16642717714"/>
    <n v="165868.16642717714"/>
    <n v="0"/>
    <n v="0.59546671747356605"/>
    <n v="0.59546671747356605"/>
    <n v="0"/>
    <n v="0.59546671747356605"/>
    <n v="49760.449928153139"/>
    <n v="49760.449928153139"/>
    <n v="0"/>
    <n v="49760.449928153139"/>
  </r>
  <r>
    <x v="27"/>
    <x v="10"/>
    <n v="0"/>
    <x v="2"/>
    <s v="Østdanmark"/>
    <n v="13300.220392989411"/>
    <n v="0"/>
    <n v="0"/>
    <n v="428214.02929147833"/>
    <n v="0"/>
    <n v="0"/>
    <n v="0"/>
    <n v="0"/>
    <n v="-414913.80889848893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235.07832093771063"/>
    <n v="0"/>
    <n v="0"/>
    <n v="0"/>
    <n v="0"/>
    <n v="0"/>
    <n v="0"/>
    <n v="0"/>
    <n v="235.07832093771063"/>
    <n v="0"/>
    <n v="0"/>
    <n v="0"/>
    <n v="0"/>
    <n v="0"/>
    <n v="0"/>
    <n v="0"/>
    <n v="0"/>
    <n v="0"/>
    <n v="0"/>
  </r>
  <r>
    <x v="30"/>
    <x v="10"/>
    <n v="0"/>
    <x v="2"/>
    <s v="Østdanmark"/>
    <n v="179727.17627336323"/>
    <n v="0"/>
    <n v="0"/>
    <n v="0"/>
    <n v="0"/>
    <n v="0"/>
    <n v="0"/>
    <n v="0"/>
    <n v="179727.17627336323"/>
    <n v="0"/>
    <n v="0"/>
    <n v="0"/>
    <n v="0"/>
    <n v="0"/>
    <n v="0"/>
    <n v="0"/>
    <n v="0"/>
    <n v="0"/>
    <n v="0"/>
  </r>
  <r>
    <x v="31"/>
    <x v="7"/>
    <n v="1"/>
    <x v="2"/>
    <s v="Østdanmark"/>
    <n v="15346.636618106591"/>
    <n v="0"/>
    <n v="0"/>
    <n v="0"/>
    <n v="0"/>
    <n v="0"/>
    <n v="15346.636618106591"/>
    <n v="0"/>
    <n v="0"/>
    <n v="0"/>
    <n v="15346.636618106591"/>
    <n v="0"/>
    <n v="0.28237811377316124"/>
    <n v="0"/>
    <n v="0.28237811377316124"/>
    <n v="0"/>
    <n v="6368.8541965142358"/>
    <n v="0"/>
    <n v="6368.8541965142358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22096.46834587499"/>
    <n v="0"/>
    <n v="0"/>
    <n v="0"/>
    <n v="0"/>
    <n v="0"/>
    <n v="0"/>
    <n v="0"/>
    <n v="22096.46834587499"/>
    <n v="0"/>
    <n v="0"/>
    <n v="0"/>
    <n v="0"/>
    <n v="0"/>
    <n v="0"/>
    <n v="0"/>
    <n v="0"/>
    <n v="0"/>
    <n v="0"/>
  </r>
  <r>
    <x v="35"/>
    <x v="10"/>
    <n v="0"/>
    <x v="2"/>
    <s v="Østdanmark"/>
    <n v="85839.954583586805"/>
    <n v="0"/>
    <n v="0"/>
    <n v="0"/>
    <n v="0"/>
    <n v="0"/>
    <n v="0"/>
    <n v="85839.954583586805"/>
    <n v="0"/>
    <n v="0"/>
    <n v="0"/>
    <n v="0"/>
    <n v="0"/>
    <n v="0"/>
    <n v="0"/>
    <n v="0"/>
    <n v="0"/>
    <n v="0"/>
    <n v="0"/>
  </r>
  <r>
    <x v="36"/>
    <x v="10"/>
    <n v="0"/>
    <x v="2"/>
    <s v="Østdanmark"/>
    <n v="42919.977291793402"/>
    <n v="2627.8769501998377"/>
    <n v="0"/>
    <n v="0"/>
    <n v="0"/>
    <n v="0"/>
    <n v="0"/>
    <n v="0"/>
    <n v="40292.100341593563"/>
    <n v="0"/>
    <n v="0"/>
    <n v="0"/>
    <n v="0"/>
    <n v="0"/>
    <n v="0"/>
    <n v="0"/>
    <n v="0"/>
    <n v="0"/>
    <n v="0"/>
  </r>
  <r>
    <x v="37"/>
    <x v="9"/>
    <n v="1"/>
    <x v="2"/>
    <s v="Østdanmark"/>
    <n v="27468.785466747777"/>
    <n v="0"/>
    <n v="0"/>
    <n v="0"/>
    <n v="0"/>
    <n v="0"/>
    <n v="27468.785466747777"/>
    <n v="0"/>
    <n v="0"/>
    <n v="0"/>
    <n v="27468.785466747777"/>
    <n v="0"/>
    <n v="0.96140749133617209"/>
    <n v="0"/>
    <n v="0.96140749133617209"/>
    <n v="0"/>
    <n v="24996.594774740479"/>
    <n v="0"/>
    <n v="24996.594774740479"/>
  </r>
  <r>
    <x v="38"/>
    <x v="4"/>
    <n v="1"/>
    <x v="2"/>
    <s v="Østdanmark"/>
    <n v="247594.36294776335"/>
    <n v="10324.58768300271"/>
    <n v="0"/>
    <n v="0"/>
    <n v="0"/>
    <n v="0"/>
    <n v="0"/>
    <n v="0"/>
    <n v="237269.77526476065"/>
    <n v="209902.43302081013"/>
    <n v="0"/>
    <n v="0.56968359931579948"/>
    <n v="0.56968359931579948"/>
    <n v="0"/>
    <n v="0.56968359931579948"/>
    <n v="41980.486604162026"/>
    <n v="41980.486604162026"/>
    <n v="0"/>
    <n v="41980.486604162026"/>
  </r>
  <r>
    <x v="39"/>
    <x v="10"/>
    <n v="0"/>
    <x v="2"/>
    <s v="Østdanmark"/>
    <n v="867.75758971205016"/>
    <n v="0"/>
    <n v="0"/>
    <n v="0"/>
    <n v="0"/>
    <n v="0"/>
    <n v="0"/>
    <n v="0"/>
    <n v="867.75758971205016"/>
    <n v="0"/>
    <n v="0"/>
    <n v="0"/>
    <n v="0"/>
    <n v="0"/>
    <n v="0"/>
    <n v="0"/>
    <n v="0"/>
    <n v="0"/>
    <n v="0"/>
  </r>
  <r>
    <x v="40"/>
    <x v="10"/>
    <n v="0"/>
    <x v="2"/>
    <s v="Østdanmark"/>
    <n v="737.73165624574028"/>
    <n v="483.79324606189488"/>
    <n v="0"/>
    <n v="0"/>
    <n v="0"/>
    <n v="0"/>
    <n v="0"/>
    <n v="0"/>
    <n v="253.93841018384541"/>
    <n v="0"/>
    <n v="0"/>
    <n v="0"/>
    <n v="0"/>
    <n v="0"/>
    <n v="0"/>
    <n v="0"/>
    <n v="0"/>
    <n v="0"/>
    <n v="0"/>
  </r>
  <r>
    <x v="41"/>
    <x v="1"/>
    <n v="1"/>
    <x v="2"/>
    <s v="Østdanmark"/>
    <n v="3492305.9942200431"/>
    <n v="0"/>
    <n v="0"/>
    <n v="0"/>
    <n v="1324453.0115708997"/>
    <n v="0"/>
    <n v="0"/>
    <n v="0"/>
    <n v="2167852.9826491433"/>
    <n v="2167852.9826491433"/>
    <n v="1324453.0115708997"/>
    <n v="1.0817803168717492"/>
    <n v="1.7426956141757439"/>
    <n v="0.66091529730399479"/>
    <n v="1.081780316871749"/>
    <n v="130071.1789589486"/>
    <n v="209538.35965320258"/>
    <n v="79467.180694253984"/>
    <n v="130071.1789589486"/>
  </r>
  <r>
    <x v="42"/>
    <x v="2"/>
    <n v="1"/>
    <x v="2"/>
    <s v="Østdanmark"/>
    <n v="17096.051577225953"/>
    <n v="0"/>
    <n v="0"/>
    <n v="0"/>
    <n v="9060.9073359297563"/>
    <n v="8035.1442412961978"/>
    <n v="0"/>
    <n v="0"/>
    <n v="0"/>
    <n v="0"/>
    <n v="9060.9073359297563"/>
    <n v="0"/>
    <n v="3.9034388803185398E-3"/>
    <n v="3.9034388803185398E-3"/>
    <n v="0"/>
    <n v="0"/>
    <n v="453.04536679648783"/>
    <n v="453.04536679648783"/>
    <n v="0"/>
  </r>
  <r>
    <x v="43"/>
    <x v="10"/>
    <n v="0"/>
    <x v="2"/>
    <s v="Østdanmark"/>
    <n v="8103.284407279948"/>
    <n v="0"/>
    <n v="0"/>
    <n v="0"/>
    <n v="0"/>
    <n v="0"/>
    <n v="0"/>
    <n v="0"/>
    <n v="8103.28440727994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119.38794894044119"/>
    <n v="0"/>
    <n v="0"/>
    <n v="0"/>
    <n v="0"/>
    <n v="0"/>
    <n v="0"/>
    <n v="4380.6120510595592"/>
    <n v="4380.6120510595592"/>
    <n v="0"/>
    <n v="3.9315993158259548E-3"/>
    <n v="3.9315993158259548E-3"/>
    <n v="0"/>
    <n v="3.9315993158259548E-3"/>
    <n v="657.09180765893382"/>
    <n v="657.09180765893382"/>
    <n v="0"/>
    <n v="657.09180765893382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93911.86485397187"/>
    <n v="0"/>
    <n v="0"/>
    <n v="0"/>
    <n v="0"/>
    <n v="0"/>
    <n v="593911.86485397187"/>
    <n v="0"/>
    <n v="0"/>
    <n v="0"/>
    <n v="593911.86485397187"/>
    <n v="0"/>
    <n v="8.6079025342490016"/>
    <n v="0"/>
    <n v="8.6079025342490016"/>
    <n v="0"/>
    <n v="293738.90982569358"/>
    <n v="0"/>
    <n v="293738.90982569358"/>
  </r>
  <r>
    <x v="47"/>
    <x v="10"/>
    <n v="0"/>
    <x v="2"/>
    <s v="Østdanmark"/>
    <n v="165231.73873877228"/>
    <n v="0"/>
    <n v="0"/>
    <n v="0"/>
    <n v="0"/>
    <n v="0"/>
    <n v="0"/>
    <n v="0"/>
    <n v="165231.73873877228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3565813.7153921872"/>
    <s v="CO2 - atmosfære"/>
    <x v="0"/>
  </r>
  <r>
    <s v="Vestdanmark"/>
    <x v="1"/>
    <n v="2433514.1349697388"/>
    <s v="Landbrug"/>
    <x v="1"/>
  </r>
  <r>
    <s v="Vestdanmark"/>
    <x v="1"/>
    <n v="3087061.7700891057"/>
    <s v="Landbrug"/>
    <x v="2"/>
  </r>
  <r>
    <s v="Vestdanmark"/>
    <x v="1"/>
    <n v="0"/>
    <s v="Landbrug"/>
    <x v="2"/>
  </r>
  <r>
    <s v="Vestdanmark"/>
    <x v="1"/>
    <n v="0"/>
    <s v="Landbrug"/>
    <x v="2"/>
  </r>
  <r>
    <s v="Vestdanmark"/>
    <x v="1"/>
    <n v="-24027.150496711278"/>
    <s v="Hav"/>
    <x v="3"/>
  </r>
  <r>
    <s v="Vestdanmark"/>
    <x v="1"/>
    <n v="-1779798.3327872674"/>
    <s v="Skov"/>
    <x v="4"/>
  </r>
  <r>
    <s v="Vestdanmark"/>
    <x v="1"/>
    <n v="-150936.70638267873"/>
    <s v="Biogasanlæg"/>
    <x v="5"/>
  </r>
  <r>
    <s v="Vestdanmark"/>
    <x v="1"/>
    <n v="0"/>
    <s v="Pyrolyseproces"/>
    <x v="6"/>
  </r>
  <r>
    <s v="Vestdanmark"/>
    <x v="2"/>
    <n v="-9801156.8132387623"/>
    <s v="CO2 - atmosfære"/>
    <x v="0"/>
  </r>
  <r>
    <s v="Vestdanmark"/>
    <x v="2"/>
    <n v="460511.69512726943"/>
    <s v="Landbrug"/>
    <x v="1"/>
  </r>
  <r>
    <s v="Vestdanmark"/>
    <x v="2"/>
    <n v="1000855.2691702252"/>
    <s v="Landbrug"/>
    <x v="2"/>
  </r>
  <r>
    <s v="Vestdanmark"/>
    <x v="2"/>
    <n v="0"/>
    <s v="Landbrug"/>
    <x v="2"/>
  </r>
  <r>
    <s v="Vestdanmark"/>
    <x v="2"/>
    <n v="0"/>
    <s v="Landbrug"/>
    <x v="2"/>
  </r>
  <r>
    <s v="Vestdanmark"/>
    <x v="2"/>
    <n v="-35616.923706055808"/>
    <s v="Hav"/>
    <x v="3"/>
  </r>
  <r>
    <s v="Vestdanmark"/>
    <x v="2"/>
    <n v="-11209072.815184468"/>
    <s v="Skov"/>
    <x v="4"/>
  </r>
  <r>
    <s v="Vestdanmark"/>
    <x v="2"/>
    <n v="-17834.038645732253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049991.0965830418"/>
    <s v="CO2 - atmosfære"/>
    <x v="0"/>
  </r>
  <r>
    <s v="Østdanmark"/>
    <x v="1"/>
    <n v="219377.05859344304"/>
    <s v="Landbrug"/>
    <x v="1"/>
  </r>
  <r>
    <s v="Østdanmark"/>
    <x v="1"/>
    <n v="1124193.8337871858"/>
    <s v="Landbrug"/>
    <x v="2"/>
  </r>
  <r>
    <s v="Østdanmark"/>
    <x v="1"/>
    <n v="0"/>
    <s v="Landbrug"/>
    <x v="2"/>
  </r>
  <r>
    <s v="Østdanmark"/>
    <x v="1"/>
    <n v="0"/>
    <s v="Landbrug"/>
    <x v="2"/>
  </r>
  <r>
    <s v="Østdanmark"/>
    <x v="1"/>
    <n v="-707.23434338852348"/>
    <s v="Hav"/>
    <x v="3"/>
  </r>
  <r>
    <s v="Østdanmark"/>
    <x v="1"/>
    <n v="-279851.26278137922"/>
    <s v="Skov"/>
    <x v="4"/>
  </r>
  <r>
    <s v="Østdanmark"/>
    <x v="1"/>
    <n v="-13021.298672819143"/>
    <s v="Biogasanlæg"/>
    <x v="5"/>
  </r>
  <r>
    <s v="Østdanmark"/>
    <x v="1"/>
    <n v="0"/>
    <s v="Pyrolyseproces"/>
    <x v="6"/>
  </r>
  <r>
    <s v="Østdanmark"/>
    <x v="2"/>
    <n v="-436517.88100394275"/>
    <s v="CO2 - atmosfære"/>
    <x v="0"/>
  </r>
  <r>
    <s v="Østdanmark"/>
    <x v="2"/>
    <n v="42459.078551713465"/>
    <s v="Landbrug"/>
    <x v="1"/>
  </r>
  <r>
    <s v="Østdanmark"/>
    <x v="2"/>
    <n v="897803.28008968849"/>
    <s v="Landbrug"/>
    <x v="2"/>
  </r>
  <r>
    <s v="Østdanmark"/>
    <x v="2"/>
    <n v="0"/>
    <s v="Landbrug"/>
    <x v="2"/>
  </r>
  <r>
    <s v="Østdanmark"/>
    <x v="2"/>
    <n v="0"/>
    <s v="Landbrug"/>
    <x v="2"/>
  </r>
  <r>
    <s v="Østdanmark"/>
    <x v="2"/>
    <n v="-8943.6049807212512"/>
    <s v="Hav"/>
    <x v="3"/>
  </r>
  <r>
    <s v="Østdanmark"/>
    <x v="2"/>
    <n v="-1366510.3422221434"/>
    <s v="Skov"/>
    <x v="4"/>
  </r>
  <r>
    <s v="Østdanmark"/>
    <x v="2"/>
    <n v="-1326.2924424800949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81488.73162783937"/>
    <n v="0"/>
    <n v="0"/>
    <n v="32579.784552999867"/>
    <n v="0"/>
    <n v="0"/>
    <n v="0"/>
    <n v="0"/>
    <n v="48908.947074839503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1055703.8134178538"/>
    <n v="32249.237737595988"/>
    <n v="0"/>
    <n v="108599.28184333291"/>
    <n v="0"/>
    <n v="0"/>
    <n v="0"/>
    <n v="0"/>
    <n v="914855.29383692495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232970.42100479943"/>
    <n v="0"/>
    <n v="0"/>
    <n v="0"/>
    <n v="0"/>
    <n v="0"/>
    <n v="232970.42100479943"/>
    <n v="0"/>
    <n v="0"/>
    <n v="0"/>
    <n v="232970.42100479943"/>
    <n v="0"/>
    <n v="4.1590393305718987"/>
    <n v="0"/>
    <n v="4.1590393305718987"/>
    <n v="0"/>
    <n v="65231.717881343844"/>
    <n v="0"/>
    <n v="65231.717881343844"/>
    <n v="0"/>
    <x v="1"/>
  </r>
  <r>
    <x v="3"/>
    <s v=""/>
    <n v="1"/>
    <x v="1"/>
    <s v="Vestdanmark"/>
    <n v="167251712.03677821"/>
    <n v="0"/>
    <n v="0"/>
    <n v="0"/>
    <n v="0"/>
    <n v="0"/>
    <n v="167251712.03677821"/>
    <n v="0"/>
    <n v="0"/>
    <n v="0"/>
    <n v="167251712.03677821"/>
    <n v="0"/>
    <n v="0"/>
    <n v="0"/>
    <n v="0"/>
    <n v="0"/>
    <n v="0"/>
    <n v="0"/>
    <n v="0"/>
    <n v="0"/>
    <x v="1"/>
  </r>
  <r>
    <x v="4"/>
    <s v=""/>
    <n v="0"/>
    <x v="1"/>
    <s v="Vestdanmark"/>
    <n v="8398446.2205836736"/>
    <n v="0"/>
    <n v="0"/>
    <n v="0"/>
    <n v="0"/>
    <n v="6070268.0629610736"/>
    <n v="0"/>
    <n v="0"/>
    <n v="2328178.1576226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1898227.2976393914"/>
    <n v="0"/>
    <n v="0"/>
    <n v="0"/>
    <n v="189822.72976393916"/>
    <n v="0"/>
    <n v="0"/>
    <n v="0"/>
    <n v="1708404.5678754523"/>
    <n v="1708404.5678754523"/>
    <n v="189822.72976393916"/>
    <n v="0.9704183445152833"/>
    <n v="1.0782426050169815"/>
    <n v="0.10782426050169815"/>
    <n v="0.97041834451528342"/>
    <n v="73057.166642722514"/>
    <n v="81174.629603025009"/>
    <n v="8117.4629603025023"/>
    <n v="73057.166642722499"/>
    <n v="0"/>
    <x v="0"/>
  </r>
  <r>
    <x v="6"/>
    <s v="Husdyrgødning"/>
    <n v="1"/>
    <x v="1"/>
    <s v="Vestdanmark"/>
    <n v="1897012.2450900592"/>
    <n v="0"/>
    <n v="0"/>
    <n v="0"/>
    <n v="948506.12254502962"/>
    <n v="359077.31782061834"/>
    <n v="0"/>
    <n v="0"/>
    <n v="589428.80472441134"/>
    <n v="589428.80472441134"/>
    <n v="948506.12254502962"/>
    <n v="1.269629645376382"/>
    <n v="3.3127118333383763"/>
    <n v="2.043082187961994"/>
    <n v="1.2696296453763822"/>
    <n v="176828.64141732341"/>
    <n v="461380.47818083229"/>
    <n v="284551.83676350885"/>
    <n v="176828.64141732344"/>
    <n v="0"/>
    <x v="0"/>
  </r>
  <r>
    <x v="7"/>
    <s v=""/>
    <n v="0"/>
    <x v="1"/>
    <s v="Vestdanmark"/>
    <n v="1336993.8993439414"/>
    <n v="0"/>
    <n v="0"/>
    <n v="0"/>
    <n v="0"/>
    <n v="0"/>
    <n v="0"/>
    <n v="0"/>
    <n v="1336993.8993439414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5416.0385581725213"/>
    <n v="0"/>
    <n v="0"/>
    <n v="0"/>
    <n v="2708.0192790862607"/>
    <n v="2050.3574541653115"/>
    <n v="0"/>
    <n v="0"/>
    <n v="657.66182492094867"/>
    <n v="657.66182492094867"/>
    <n v="2708.0192790862607"/>
    <n v="3.0929177964207296E-4"/>
    <n v="1.5828461664035504E-3"/>
    <n v="1.2735543867614775E-3"/>
    <n v="3.0929177964207286E-4"/>
    <n v="41.432694970019767"/>
    <n v="212.03790955245418"/>
    <n v="170.60521458243443"/>
    <n v="41.432694970019753"/>
    <n v="0"/>
    <x v="0"/>
  </r>
  <r>
    <x v="9"/>
    <s v=""/>
    <n v="0"/>
    <x v="1"/>
    <s v="Vestdanmark"/>
    <n v="54450.688726027351"/>
    <n v="0"/>
    <n v="0"/>
    <n v="17647.383299541594"/>
    <n v="0"/>
    <n v="0"/>
    <n v="0"/>
    <n v="0"/>
    <n v="36803.305426485756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503348.87978942681"/>
    <n v="0"/>
    <n v="0"/>
    <n v="0"/>
    <n v="0"/>
    <n v="0"/>
    <n v="0"/>
    <n v="0"/>
    <n v="503348.87978942681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12870.55640082812"/>
    <n v="0"/>
    <n v="0"/>
    <n v="257923.29437791562"/>
    <n v="0"/>
    <n v="0"/>
    <n v="0"/>
    <n v="0"/>
    <n v="-45052.737977087498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3"/>
    <s v="Græs og urter"/>
    <n v="1"/>
    <x v="1"/>
    <s v="Vestdanmark"/>
    <n v="10019425.413707765"/>
    <n v="6118844.9546291493"/>
    <n v="0"/>
    <n v="0"/>
    <n v="0"/>
    <n v="0"/>
    <n v="0"/>
    <n v="3884618.233807533"/>
    <n v="15962.225271081552"/>
    <n v="15962.225271081552"/>
    <n v="0"/>
    <n v="2.9368499220631172E-2"/>
    <n v="2.9368499220631172E-2"/>
    <n v="0"/>
    <n v="2.9368499220631172E-2"/>
    <n v="4469.4230759028351"/>
    <n v="4469.4230759028351"/>
    <n v="0"/>
    <n v="4469.4230759028351"/>
    <n v="0"/>
    <x v="0"/>
  </r>
  <r>
    <x v="14"/>
    <s v=""/>
    <n v="0"/>
    <x v="1"/>
    <s v="Vestdanmark"/>
    <n v="649397.03682420007"/>
    <n v="649397.0368242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914917.20796027384"/>
    <n v="0"/>
    <n v="0"/>
    <n v="270140.71358529059"/>
    <n v="0"/>
    <n v="0"/>
    <n v="0"/>
    <n v="0"/>
    <n v="644776.49437498325"/>
    <n v="0"/>
    <n v="0"/>
    <n v="0"/>
    <n v="0"/>
    <n v="0"/>
    <n v="0"/>
    <n v="0"/>
    <n v="0"/>
    <n v="0"/>
    <n v="0"/>
    <n v="0"/>
    <x v="0"/>
  </r>
  <r>
    <x v="16"/>
    <s v="Halm og strå"/>
    <n v="1"/>
    <x v="1"/>
    <s v="Vestdanmark"/>
    <n v="1175164.654924925"/>
    <n v="386542.94677146303"/>
    <n v="349975.86857885815"/>
    <n v="0"/>
    <n v="0"/>
    <n v="0"/>
    <n v="438645.83957460371"/>
    <n v="0"/>
    <n v="0"/>
    <n v="0"/>
    <n v="438645.83957460371"/>
    <n v="0"/>
    <n v="4.5337584493101053"/>
    <n v="0"/>
    <n v="4.5337584493101053"/>
    <n v="0"/>
    <n v="372848.96363841317"/>
    <n v="0"/>
    <n v="372848.96363841317"/>
    <n v="0"/>
    <x v="1"/>
  </r>
  <r>
    <x v="17"/>
    <s v="Bionedbrydeligt affald"/>
    <n v="1"/>
    <x v="1"/>
    <s v="Vestdanmark"/>
    <n v="526734.10986839118"/>
    <n v="0"/>
    <n v="0"/>
    <n v="0"/>
    <n v="0"/>
    <n v="0"/>
    <n v="526734.10986839118"/>
    <n v="0"/>
    <n v="0"/>
    <n v="0"/>
    <n v="526734.10986839118"/>
    <n v="0"/>
    <n v="9.4033734851313486"/>
    <n v="0"/>
    <n v="9.4033734851313486"/>
    <n v="0"/>
    <n v="158020.23296051734"/>
    <n v="0"/>
    <n v="158020.23296051734"/>
    <n v="0"/>
    <x v="1"/>
  </r>
  <r>
    <x v="18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344385.13737273094"/>
    <n v="0"/>
    <n v="0"/>
    <n v="0"/>
    <n v="0"/>
    <n v="0"/>
    <n v="0"/>
    <n v="0"/>
    <n v="344385.13737273094"/>
    <n v="344385.13737273094"/>
    <n v="0"/>
    <n v="1.4922655703039018"/>
    <n v="1.4922655703039018"/>
    <n v="0"/>
    <n v="1.4922655703039018"/>
    <n v="144641.75769654699"/>
    <n v="144641.75769654699"/>
    <n v="0"/>
    <n v="144641.75769654699"/>
    <n v="0"/>
    <x v="0"/>
  </r>
  <r>
    <x v="20"/>
    <s v=""/>
    <n v="0"/>
    <x v="1"/>
    <s v="Vestdanmark"/>
    <n v="474846.15363376588"/>
    <n v="0"/>
    <n v="0"/>
    <n v="0"/>
    <n v="0"/>
    <n v="0"/>
    <n v="0"/>
    <n v="0"/>
    <n v="474846.15363376588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1309144.9470220618"/>
    <n v="0"/>
    <n v="0"/>
    <n v="123531.68309679118"/>
    <n v="0"/>
    <n v="0"/>
    <n v="0"/>
    <n v="0"/>
    <n v="1185613.2639252706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2167292.6710484698"/>
    <n v="2939607.6009978116"/>
    <n v="0"/>
    <n v="295933.04302308214"/>
    <n v="0"/>
    <n v="0"/>
    <n v="0"/>
    <n v="0"/>
    <n v="-1068247.9729724238"/>
    <n v="0"/>
    <n v="0"/>
    <n v="0"/>
    <n v="0"/>
    <n v="0"/>
    <n v="0"/>
    <n v="0"/>
    <n v="0"/>
    <n v="0"/>
    <n v="0"/>
    <n v="0"/>
    <x v="0"/>
  </r>
  <r>
    <x v="23"/>
    <s v=""/>
    <n v="0"/>
    <x v="1"/>
    <s v="Vestdanmark"/>
    <n v="0"/>
    <n v="0"/>
    <n v="0"/>
    <n v="0"/>
    <n v="0"/>
    <n v="864168.35414458788"/>
    <n v="0"/>
    <n v="0"/>
    <n v="-864168.3541445878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5359836.7780819526"/>
    <n v="0"/>
    <n v="0"/>
    <n v="0"/>
    <n v="4073475.9513422842"/>
    <n v="852214.04771503038"/>
    <n v="0"/>
    <n v="0"/>
    <n v="434146.77902463824"/>
    <n v="434146.77902463824"/>
    <n v="4073475.9513422842"/>
    <n v="0.21976075807448164"/>
    <n v="2.281713549884433"/>
    <n v="2.0619527918099512"/>
    <n v="0.21976075807448181"/>
    <n v="32995.155205872506"/>
    <n v="342579.3275078861"/>
    <n v="309584.17230201361"/>
    <n v="32995.155205872492"/>
    <n v="0"/>
    <x v="0"/>
  </r>
  <r>
    <x v="25"/>
    <s v=""/>
    <n v="0"/>
    <x v="1"/>
    <s v="Vestdanmark"/>
    <n v="673118.25417909713"/>
    <n v="757857.08683350566"/>
    <n v="0"/>
    <n v="0"/>
    <n v="0"/>
    <n v="0"/>
    <n v="0"/>
    <n v="0"/>
    <n v="-84738.832654408528"/>
    <n v="0"/>
    <n v="0"/>
    <n v="0"/>
    <n v="0"/>
    <n v="0"/>
    <n v="0"/>
    <n v="0"/>
    <n v="0"/>
    <n v="0"/>
    <n v="0"/>
    <n v="1"/>
    <x v="1"/>
  </r>
  <r>
    <x v="26"/>
    <s v="Græs og urter"/>
    <n v="1"/>
    <x v="1"/>
    <s v="Vestdanmark"/>
    <n v="3542262.6085471725"/>
    <n v="2828526.8932349812"/>
    <n v="0"/>
    <n v="0"/>
    <n v="0"/>
    <n v="0"/>
    <n v="0"/>
    <n v="0"/>
    <n v="713735.71531219129"/>
    <n v="691370.57654557168"/>
    <n v="0"/>
    <n v="2.4820203697986027"/>
    <n v="2.4820203697986027"/>
    <n v="0"/>
    <n v="2.4820203697986027"/>
    <n v="207411.1729636715"/>
    <n v="207411.1729636715"/>
    <n v="0"/>
    <n v="207411.1729636715"/>
    <n v="0"/>
    <x v="0"/>
  </r>
  <r>
    <x v="27"/>
    <s v=""/>
    <n v="0"/>
    <x v="1"/>
    <s v="Vestdanmark"/>
    <n v="1298768.8893653844"/>
    <n v="0"/>
    <n v="0"/>
    <n v="472406.87601849809"/>
    <n v="0"/>
    <n v="0"/>
    <n v="0"/>
    <n v="0"/>
    <n v="826362.01334688626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37662.715228391091"/>
    <n v="0"/>
    <n v="0"/>
    <n v="30014.126519451132"/>
    <n v="0"/>
    <n v="0"/>
    <n v="0"/>
    <n v="0"/>
    <n v="7648.5887089399585"/>
    <n v="0"/>
    <n v="0"/>
    <n v="0"/>
    <n v="0"/>
    <n v="0"/>
    <n v="0"/>
    <n v="0"/>
    <n v="0"/>
    <n v="0"/>
    <n v="0"/>
    <n v="1"/>
    <x v="1"/>
  </r>
  <r>
    <x v="30"/>
    <s v=""/>
    <n v="0"/>
    <x v="1"/>
    <s v="Vestdanmark"/>
    <n v="997813.12750469695"/>
    <n v="0"/>
    <n v="0"/>
    <n v="0"/>
    <n v="0"/>
    <n v="0"/>
    <n v="0"/>
    <n v="0"/>
    <n v="997813.12750469695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85201.780821949884"/>
    <n v="0"/>
    <n v="0"/>
    <n v="0"/>
    <n v="0"/>
    <n v="0"/>
    <n v="85201.780821949884"/>
    <n v="0"/>
    <n v="0"/>
    <n v="0"/>
    <n v="85201.780821949884"/>
    <n v="0"/>
    <n v="1.5677127671238775"/>
    <n v="0"/>
    <n v="1.5677127671238775"/>
    <n v="0"/>
    <n v="35358.739041109206"/>
    <n v="0"/>
    <n v="35358.739041109206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2022448.3523533144"/>
    <n v="0"/>
    <n v="0"/>
    <n v="0"/>
    <n v="0"/>
    <n v="0"/>
    <n v="0"/>
    <n v="0"/>
    <n v="2022448.3523533144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304634.88719504897"/>
    <n v="0"/>
    <n v="0"/>
    <n v="0"/>
    <n v="0"/>
    <n v="0"/>
    <n v="0"/>
    <n v="304634.8871950489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152317.44359752449"/>
    <n v="107049.55304563112"/>
    <n v="0"/>
    <n v="0"/>
    <n v="0"/>
    <n v="0"/>
    <n v="0"/>
    <n v="0"/>
    <n v="45267.89055189336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97483.163902415676"/>
    <n v="0"/>
    <n v="0"/>
    <n v="0"/>
    <n v="0"/>
    <n v="0"/>
    <n v="97483.163902415676"/>
    <n v="0"/>
    <n v="0"/>
    <n v="0"/>
    <n v="97483.163902415676"/>
    <n v="0"/>
    <n v="3.4119107365845482"/>
    <n v="0"/>
    <n v="3.4119107365845482"/>
    <n v="0"/>
    <n v="88709.679151198274"/>
    <n v="0"/>
    <n v="88709.679151198274"/>
    <n v="0"/>
    <x v="1"/>
  </r>
  <r>
    <x v="38"/>
    <s v="Græs og urter"/>
    <n v="1"/>
    <x v="1"/>
    <s v="Vestdanmark"/>
    <n v="244501.84634790485"/>
    <n v="420583.80882781441"/>
    <n v="0"/>
    <n v="0"/>
    <n v="0"/>
    <n v="0"/>
    <n v="0"/>
    <n v="0"/>
    <n v="-176081.96247990956"/>
    <n v="0"/>
    <n v="0"/>
    <n v="0"/>
    <n v="0"/>
    <n v="0"/>
    <n v="0"/>
    <n v="0"/>
    <n v="0"/>
    <n v="0"/>
    <n v="0"/>
    <n v="0"/>
    <x v="0"/>
  </r>
  <r>
    <x v="39"/>
    <s v=""/>
    <n v="0"/>
    <x v="1"/>
    <s v="Vestdanmark"/>
    <n v="70212.674391725712"/>
    <n v="0"/>
    <n v="0"/>
    <n v="0"/>
    <n v="0"/>
    <n v="0"/>
    <n v="0"/>
    <n v="0"/>
    <n v="70212.674391725712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48453.238883082529"/>
    <n v="19707.867506308663"/>
    <n v="0"/>
    <n v="0"/>
    <n v="0"/>
    <n v="0"/>
    <n v="0"/>
    <n v="0"/>
    <n v="28745.371376773866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02711.417929336"/>
    <n v="0"/>
    <n v="0"/>
    <n v="0"/>
    <n v="1480098.7941273053"/>
    <n v="0"/>
    <n v="0"/>
    <n v="0"/>
    <n v="2422612.6238020305"/>
    <n v="2422612.6238020305"/>
    <n v="1480098.7941273053"/>
    <n v="1.2089079254034514"/>
    <n v="1.9474920246609182"/>
    <n v="0.73858409925746671"/>
    <n v="1.2089079254034516"/>
    <n v="145356.75742812181"/>
    <n v="234162.68507576012"/>
    <n v="88805.927647638309"/>
    <n v="145356.75742812181"/>
    <n v="0"/>
    <x v="0"/>
  </r>
  <r>
    <x v="42"/>
    <s v="Husdyrgødning"/>
    <n v="1"/>
    <x v="1"/>
    <s v="Vestdanmark"/>
    <n v="4605821.4125648942"/>
    <n v="0"/>
    <n v="0"/>
    <n v="0"/>
    <n v="2441085.3486593938"/>
    <n v="2164736.0639055003"/>
    <n v="0"/>
    <n v="0"/>
    <n v="0"/>
    <n v="0"/>
    <n v="2441085.3486593938"/>
    <n v="0"/>
    <n v="1.0516195682024669"/>
    <n v="1.0516195682024669"/>
    <n v="0"/>
    <n v="0"/>
    <n v="122054.2674329697"/>
    <n v="122054.2674329697"/>
    <n v="0"/>
    <n v="0"/>
    <x v="1"/>
  </r>
  <r>
    <x v="43"/>
    <s v=""/>
    <n v="0"/>
    <x v="1"/>
    <s v="Vestdanmark"/>
    <n v="516260.44941767416"/>
    <n v="0"/>
    <n v="0"/>
    <n v="60937.772024340171"/>
    <n v="0"/>
    <n v="0"/>
    <n v="0"/>
    <n v="0"/>
    <n v="455322.67739333399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4863.4037343860291"/>
    <n v="0"/>
    <n v="0"/>
    <n v="0"/>
    <n v="0"/>
    <n v="0"/>
    <n v="0"/>
    <n v="8636.5962656139709"/>
    <n v="8636.5962656139709"/>
    <n v="0"/>
    <n v="7.7513451483885399E-3"/>
    <n v="7.7513451483885399E-3"/>
    <n v="0"/>
    <n v="7.7513451483885399E-3"/>
    <n v="1295.4894398420956"/>
    <n v="1295.4894398420956"/>
    <n v="0"/>
    <n v="1295.4894398420956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10017.156591918179"/>
    <n v="0"/>
    <n v="0"/>
    <n v="33849.968886444818"/>
    <n v="0"/>
    <n v="0"/>
    <n v="0"/>
    <n v="0"/>
    <n v="-23832.812294526637"/>
    <n v="0"/>
    <n v="0"/>
    <n v="0"/>
    <n v="0"/>
    <n v="0"/>
    <n v="0"/>
    <n v="0"/>
    <n v="0"/>
    <n v="0"/>
    <n v="0"/>
    <n v="1"/>
    <x v="1"/>
  </r>
  <r>
    <x v="1"/>
    <s v=""/>
    <n v="0"/>
    <x v="2"/>
    <s v="Vestdanmark"/>
    <n v="463084.0167324213"/>
    <n v="6449.847547519199"/>
    <n v="0"/>
    <n v="225666.45924296544"/>
    <n v="0"/>
    <n v="0"/>
    <n v="0"/>
    <n v="0"/>
    <n v="230967.7099419366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294273.52690628928"/>
    <n v="0"/>
    <n v="0"/>
    <n v="0"/>
    <n v="0"/>
    <n v="0"/>
    <n v="294273.52690628928"/>
    <n v="0"/>
    <n v="0"/>
    <n v="0"/>
    <n v="294273.52690628928"/>
    <n v="0"/>
    <n v="5.2534358957275158"/>
    <n v="0"/>
    <n v="5.2534358957275158"/>
    <n v="0"/>
    <n v="82396.587533761005"/>
    <n v="0"/>
    <n v="82396.587533761005"/>
    <n v="0"/>
    <x v="1"/>
  </r>
  <r>
    <x v="3"/>
    <s v=""/>
    <n v="1"/>
    <x v="2"/>
    <s v="Vestdanmark"/>
    <n v="47333608.503108315"/>
    <n v="0"/>
    <n v="0"/>
    <n v="0"/>
    <n v="0"/>
    <n v="0"/>
    <n v="47333608.503108315"/>
    <n v="0"/>
    <n v="0"/>
    <n v="0"/>
    <n v="47333608.503108315"/>
    <n v="0"/>
    <n v="0"/>
    <n v="0"/>
    <n v="0"/>
    <n v="0"/>
    <n v="0"/>
    <n v="0"/>
    <n v="0"/>
    <n v="0"/>
    <x v="1"/>
  </r>
  <r>
    <x v="4"/>
    <s v=""/>
    <n v="0"/>
    <x v="2"/>
    <s v="Vestdanmark"/>
    <n v="2304396.4133591549"/>
    <n v="0"/>
    <n v="0"/>
    <n v="0"/>
    <n v="0"/>
    <n v="451110.48492467229"/>
    <n v="0"/>
    <n v="0"/>
    <n v="1853285.9284344828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379645.45952787838"/>
    <n v="0"/>
    <n v="0"/>
    <n v="0"/>
    <n v="75929.091905575682"/>
    <n v="0"/>
    <n v="0"/>
    <n v="0"/>
    <n v="303716.36762230273"/>
    <n v="303716.36762230273"/>
    <n v="75929.091905575682"/>
    <n v="0.17251881680271708"/>
    <n v="0.21564852100339635"/>
    <n v="4.312970420067927E-2"/>
    <n v="0.17251881680271708"/>
    <n v="12987.940736484006"/>
    <n v="16234.925920605008"/>
    <n v="3246.9851841210016"/>
    <n v="12987.940736484006"/>
    <n v="0"/>
    <x v="0"/>
  </r>
  <r>
    <x v="6"/>
    <s v="Husdyrgødning"/>
    <n v="1"/>
    <x v="2"/>
    <s v="Vestdanmark"/>
    <n v="537198.25456001912"/>
    <n v="0"/>
    <n v="0"/>
    <n v="0"/>
    <n v="267858.6677775862"/>
    <n v="101403.63851580049"/>
    <n v="0"/>
    <n v="0"/>
    <n v="167935.94826663245"/>
    <n v="167935.94826663245"/>
    <n v="267858.6677775862"/>
    <n v="0.3617340325663263"/>
    <n v="0.93870160295924698"/>
    <n v="0.57696757039292068"/>
    <n v="0.3617340325663263"/>
    <n v="50380.784479989736"/>
    <n v="130738.38481326558"/>
    <n v="80357.600333275856"/>
    <n v="50380.784479989728"/>
    <n v="0"/>
    <x v="0"/>
  </r>
  <r>
    <x v="7"/>
    <s v=""/>
    <n v="0"/>
    <x v="2"/>
    <s v="Vestdanmark"/>
    <n v="267398.77986878838"/>
    <n v="0"/>
    <n v="0"/>
    <n v="0"/>
    <n v="0"/>
    <n v="0"/>
    <n v="0"/>
    <n v="0"/>
    <n v="267398.77986878838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1444.9923324342087"/>
    <n v="0"/>
    <n v="0"/>
    <n v="0"/>
    <n v="712.10734765283848"/>
    <n v="539.16699179429202"/>
    <n v="0"/>
    <n v="0"/>
    <n v="193.71799298707833"/>
    <n v="193.71799298707833"/>
    <n v="712.10734765283848"/>
    <n v="9.1103634921893068E-5"/>
    <n v="4.2600059944954648E-4"/>
    <n v="3.3489696452765344E-4"/>
    <n v="9.1103634921893041E-5"/>
    <n v="12.204233558185935"/>
    <n v="57.066996460314762"/>
    <n v="44.862762902128821"/>
    <n v="12.20423355818594"/>
    <n v="0"/>
    <x v="0"/>
  </r>
  <r>
    <x v="9"/>
    <s v=""/>
    <n v="0"/>
    <x v="2"/>
    <s v="Vestdanmark"/>
    <n v="927.46485322482272"/>
    <n v="0"/>
    <n v="0"/>
    <n v="0"/>
    <n v="0"/>
    <n v="0"/>
    <n v="0"/>
    <n v="0"/>
    <n v="927.46485322482272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116828.38870778363"/>
    <n v="0"/>
    <n v="0"/>
    <n v="0"/>
    <n v="0"/>
    <n v="0"/>
    <n v="0"/>
    <n v="0"/>
    <n v="116828.38870778363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95084.225804193949"/>
    <n v="0"/>
    <n v="0"/>
    <n v="267978.92035102146"/>
    <n v="0"/>
    <n v="0"/>
    <n v="0"/>
    <n v="0"/>
    <n v="-172894.6945468275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3"/>
    <s v="Græs og urter"/>
    <n v="1"/>
    <x v="2"/>
    <s v="Vestdanmark"/>
    <n v="1484191.1539502868"/>
    <n v="1223768.9909258301"/>
    <n v="0"/>
    <n v="0"/>
    <n v="0"/>
    <n v="0"/>
    <n v="0"/>
    <n v="776923.6467615068"/>
    <n v="-516501.48373705009"/>
    <n v="0"/>
    <n v="0"/>
    <n v="0"/>
    <n v="0"/>
    <n v="0"/>
    <n v="0"/>
    <n v="0"/>
    <n v="0"/>
    <n v="0"/>
    <n v="0"/>
    <n v="0"/>
    <x v="0"/>
  </r>
  <r>
    <x v="14"/>
    <s v=""/>
    <n v="0"/>
    <x v="2"/>
    <s v="Vestdanmark"/>
    <n v="129879.40736484005"/>
    <n v="129879.4073648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520430.19403510873"/>
    <n v="0"/>
    <n v="0"/>
    <n v="280672.65868343826"/>
    <n v="0"/>
    <n v="0"/>
    <n v="0"/>
    <n v="0"/>
    <n v="239757.53535167046"/>
    <n v="0"/>
    <n v="0"/>
    <n v="0"/>
    <n v="0"/>
    <n v="0"/>
    <n v="0"/>
    <n v="0"/>
    <n v="0"/>
    <n v="0"/>
    <n v="0"/>
    <n v="0"/>
    <x v="0"/>
  </r>
  <r>
    <x v="16"/>
    <s v="Halm og strå"/>
    <n v="1"/>
    <x v="2"/>
    <s v="Vestdanmark"/>
    <n v="247438.43863194692"/>
    <n v="77308.589354292635"/>
    <n v="66293.363186171628"/>
    <n v="0"/>
    <n v="0"/>
    <n v="0"/>
    <n v="103753.18781488619"/>
    <n v="0"/>
    <n v="83.298276596469805"/>
    <n v="83.298276596469805"/>
    <n v="103753.18781488619"/>
    <n v="8.6095485528476037E-4"/>
    <n v="1.0732338111777837"/>
    <n v="0"/>
    <n v="1.0732338111777837"/>
    <n v="70.803535106999334"/>
    <n v="88261.013177760251"/>
    <n v="0"/>
    <n v="88261.013177760251"/>
    <n v="0"/>
    <x v="0"/>
  </r>
  <r>
    <x v="17"/>
    <s v="Bionedbrydeligt affald"/>
    <n v="1"/>
    <x v="2"/>
    <s v="Vestdanmark"/>
    <n v="524881.97503939818"/>
    <n v="0"/>
    <n v="0"/>
    <n v="0"/>
    <n v="0"/>
    <n v="0"/>
    <n v="524881.97503939818"/>
    <n v="0"/>
    <n v="0"/>
    <n v="0"/>
    <n v="524881.97503939818"/>
    <n v="0"/>
    <n v="9.3703087657301456"/>
    <n v="0"/>
    <n v="9.3703087657301456"/>
    <n v="0"/>
    <n v="157464.59251181944"/>
    <n v="0"/>
    <n v="157464.59251181944"/>
    <n v="0"/>
    <x v="1"/>
  </r>
  <r>
    <x v="18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217311.45572171282"/>
    <n v="0"/>
    <n v="0"/>
    <n v="0"/>
    <n v="0"/>
    <n v="0"/>
    <n v="0"/>
    <n v="0"/>
    <n v="217311.45572171282"/>
    <n v="217311.45572171282"/>
    <n v="0"/>
    <n v="0.94163878813142554"/>
    <n v="0.94163878813142554"/>
    <n v="0"/>
    <n v="0.94163878813142554"/>
    <n v="91270.811403119384"/>
    <n v="91270.811403119384"/>
    <n v="0"/>
    <n v="91270.811403119384"/>
    <n v="0"/>
    <x v="0"/>
  </r>
  <r>
    <x v="20"/>
    <s v=""/>
    <n v="0"/>
    <x v="2"/>
    <s v="Vestdanmark"/>
    <n v="110212.84290198362"/>
    <n v="0"/>
    <n v="0"/>
    <n v="0"/>
    <n v="0"/>
    <n v="0"/>
    <n v="0"/>
    <n v="0"/>
    <n v="110212.84290198362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303855.43881513749"/>
    <n v="0"/>
    <n v="0"/>
    <n v="128347.79869443661"/>
    <n v="0"/>
    <n v="0"/>
    <n v="0"/>
    <n v="0"/>
    <n v="175507.64012070087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223399.5256268252"/>
    <n v="587921.52019956254"/>
    <n v="0"/>
    <n v="307470.55071854044"/>
    <n v="0"/>
    <n v="0"/>
    <n v="0"/>
    <n v="0"/>
    <n v="-671992.54529127781"/>
    <n v="0"/>
    <n v="0"/>
    <n v="0"/>
    <n v="0"/>
    <n v="0"/>
    <n v="0"/>
    <n v="0"/>
    <n v="0"/>
    <n v="0"/>
    <n v="0"/>
    <n v="0"/>
    <x v="0"/>
  </r>
  <r>
    <x v="23"/>
    <s v=""/>
    <n v="0"/>
    <x v="2"/>
    <s v="Vestdanmark"/>
    <n v="0"/>
    <n v="0"/>
    <n v="0"/>
    <n v="0"/>
    <n v="0"/>
    <n v="388055.99862344295"/>
    <n v="0"/>
    <n v="0"/>
    <n v="-388055.99862344295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813923.80663677445"/>
    <n v="0"/>
    <n v="0"/>
    <n v="0"/>
    <n v="579009.4919217953"/>
    <n v="121134.88054679664"/>
    <n v="0"/>
    <n v="0"/>
    <n v="113779.43416818255"/>
    <n v="113779.43416818255"/>
    <n v="579009.4919217953"/>
    <n v="5.7594011781592333E-2"/>
    <n v="0.35068282649748594"/>
    <n v="0.2930888147158936"/>
    <n v="5.7594011781592347E-2"/>
    <n v="8647.236996781874"/>
    <n v="52651.958382838318"/>
    <n v="44004.721386056444"/>
    <n v="8647.236996781874"/>
    <n v="0"/>
    <x v="0"/>
  </r>
  <r>
    <x v="25"/>
    <s v=""/>
    <n v="0"/>
    <x v="2"/>
    <s v="Vestdanmark"/>
    <n v="96985.656725070323"/>
    <n v="151571.41736670118"/>
    <n v="0"/>
    <n v="0"/>
    <n v="0"/>
    <n v="0"/>
    <n v="0"/>
    <n v="0"/>
    <n v="-54585.760641630855"/>
    <n v="0"/>
    <n v="0"/>
    <n v="0"/>
    <n v="0"/>
    <n v="0"/>
    <n v="0"/>
    <n v="0"/>
    <n v="0"/>
    <n v="0"/>
    <n v="0"/>
    <n v="1"/>
    <x v="1"/>
  </r>
  <r>
    <x v="26"/>
    <s v="Græs og urter"/>
    <n v="1"/>
    <x v="2"/>
    <s v="Vestdanmark"/>
    <n v="678402.70281965565"/>
    <n v="565705.37864699645"/>
    <n v="0"/>
    <n v="0"/>
    <n v="0"/>
    <n v="0"/>
    <n v="0"/>
    <n v="0"/>
    <n v="112697.3241726592"/>
    <n v="112697.3241726592"/>
    <n v="0"/>
    <n v="0.40458339377984653"/>
    <n v="0.40458339377984653"/>
    <n v="0"/>
    <n v="0.40458339377984653"/>
    <n v="33809.197251797756"/>
    <n v="33809.197251797756"/>
    <n v="0"/>
    <n v="33809.197251797756"/>
    <n v="0"/>
    <x v="0"/>
  </r>
  <r>
    <x v="27"/>
    <s v=""/>
    <n v="0"/>
    <x v="2"/>
    <s v="Vestdanmark"/>
    <n v="187131.9829571539"/>
    <n v="0"/>
    <n v="0"/>
    <n v="490824.54885344987"/>
    <n v="0"/>
    <n v="0"/>
    <n v="0"/>
    <n v="0"/>
    <n v="-303692.56589629594"/>
    <n v="0"/>
    <n v="0"/>
    <n v="0"/>
    <n v="0"/>
    <n v="0"/>
    <n v="0"/>
    <n v="0"/>
    <n v="0"/>
    <n v="0"/>
    <n v="0"/>
    <n v="1"/>
    <x v="1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3307.5145409244233"/>
    <n v="0"/>
    <n v="0"/>
    <n v="0"/>
    <n v="0"/>
    <n v="0"/>
    <n v="0"/>
    <n v="0"/>
    <n v="3307.5145409244233"/>
    <n v="0"/>
    <n v="0"/>
    <n v="0"/>
    <n v="0"/>
    <n v="0"/>
    <n v="0"/>
    <n v="0"/>
    <n v="0"/>
    <n v="0"/>
    <n v="0"/>
    <n v="0"/>
    <x v="0"/>
  </r>
  <r>
    <x v="30"/>
    <s v=""/>
    <n v="0"/>
    <x v="2"/>
    <s v="Vestdanmark"/>
    <n v="231594.63465303747"/>
    <n v="0"/>
    <n v="0"/>
    <n v="0"/>
    <n v="0"/>
    <n v="0"/>
    <n v="0"/>
    <n v="0"/>
    <n v="231594.63465303747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9775.521846053056"/>
    <n v="0"/>
    <n v="0"/>
    <n v="0"/>
    <n v="0"/>
    <n v="0"/>
    <n v="19775.521846053056"/>
    <n v="0"/>
    <n v="0"/>
    <n v="0"/>
    <n v="19775.521846053056"/>
    <n v="0"/>
    <n v="0.36386960196737617"/>
    <n v="0"/>
    <n v="0.36386960196737617"/>
    <n v="0"/>
    <n v="8206.8415661120198"/>
    <n v="0"/>
    <n v="8206.8415661120198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310893.7909098948"/>
    <n v="0"/>
    <n v="0"/>
    <n v="0"/>
    <n v="0"/>
    <n v="0"/>
    <n v="0"/>
    <n v="0"/>
    <n v="310893.7909098948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69105.833019649028"/>
    <n v="0"/>
    <n v="0"/>
    <n v="0"/>
    <n v="0"/>
    <n v="0"/>
    <n v="0"/>
    <n v="69105.833019649028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34552.916509824514"/>
    <n v="21409.910609126229"/>
    <n v="0"/>
    <n v="0"/>
    <n v="0"/>
    <n v="0"/>
    <n v="0"/>
    <n v="0"/>
    <n v="13143.005900698285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22113.866566287688"/>
    <n v="0"/>
    <n v="0"/>
    <n v="0"/>
    <n v="0"/>
    <n v="0"/>
    <n v="22113.866566287688"/>
    <n v="0"/>
    <n v="0"/>
    <n v="0"/>
    <n v="22113.866566287688"/>
    <n v="0"/>
    <n v="0.77398532982006907"/>
    <n v="0"/>
    <n v="0.77398532982006907"/>
    <n v="0"/>
    <n v="20123.618575321798"/>
    <n v="0"/>
    <n v="20123.618575321798"/>
    <n v="0"/>
    <x v="1"/>
  </r>
  <r>
    <x v="38"/>
    <s v="Græs og urter"/>
    <n v="1"/>
    <x v="2"/>
    <s v="Vestdanmark"/>
    <n v="56749.419521612363"/>
    <n v="84116.7617655629"/>
    <n v="0"/>
    <n v="0"/>
    <n v="0"/>
    <n v="0"/>
    <n v="0"/>
    <n v="0"/>
    <n v="-27367.342243950538"/>
    <n v="0"/>
    <n v="0"/>
    <n v="0"/>
    <n v="0"/>
    <n v="0"/>
    <n v="0"/>
    <n v="0"/>
    <n v="0"/>
    <n v="0"/>
    <n v="0"/>
    <n v="0"/>
    <x v="0"/>
  </r>
  <r>
    <x v="39"/>
    <s v=""/>
    <n v="0"/>
    <x v="2"/>
    <s v="Vestdanmark"/>
    <n v="7097.640580688706"/>
    <n v="0"/>
    <n v="0"/>
    <n v="0"/>
    <n v="0"/>
    <n v="0"/>
    <n v="0"/>
    <n v="0"/>
    <n v="7097.640580688706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5199.2984687245571"/>
    <n v="3941.5735012617333"/>
    <n v="0"/>
    <n v="0"/>
    <n v="0"/>
    <n v="0"/>
    <n v="0"/>
    <n v="0"/>
    <n v="1257.724967462823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09618.6163458391"/>
    <n v="0"/>
    <n v="0"/>
    <n v="0"/>
    <n v="1520643.2255533286"/>
    <n v="0"/>
    <n v="0"/>
    <n v="0"/>
    <n v="2488975.3907925105"/>
    <n v="2488975.3907925105"/>
    <n v="1520643.2255533286"/>
    <n v="1.2420236097593709"/>
    <n v="2.0008397857427376"/>
    <n v="0.75881617598336659"/>
    <n v="1.2420236097593711"/>
    <n v="149338.52344755063"/>
    <n v="240577.11698075035"/>
    <n v="91238.593533199717"/>
    <n v="149338.52344755063"/>
    <n v="0"/>
    <x v="0"/>
  </r>
  <r>
    <x v="42"/>
    <s v="Husdyrgødning"/>
    <n v="1"/>
    <x v="2"/>
    <s v="Vestdanmark"/>
    <n v="117987.52213609075"/>
    <n v="0"/>
    <n v="0"/>
    <n v="0"/>
    <n v="62533.3867321281"/>
    <n v="55454.135403962639"/>
    <n v="0"/>
    <n v="0"/>
    <n v="0"/>
    <n v="0"/>
    <n v="62533.3867321281"/>
    <n v="0"/>
    <n v="2.693938300420079E-2"/>
    <n v="2.693938300420079E-2"/>
    <n v="0"/>
    <n v="0"/>
    <n v="3126.6693366064051"/>
    <n v="3126.6693366064051"/>
    <n v="0"/>
    <n v="0"/>
    <x v="1"/>
  </r>
  <r>
    <x v="43"/>
    <s v=""/>
    <n v="0"/>
    <x v="2"/>
    <s v="Vestdanmark"/>
    <n v="55924.401260733604"/>
    <n v="0"/>
    <n v="0"/>
    <n v="0"/>
    <n v="0"/>
    <n v="0"/>
    <n v="0"/>
    <n v="0"/>
    <n v="55924.401260733604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972.68074687720616"/>
    <n v="0"/>
    <n v="0"/>
    <n v="0"/>
    <n v="0"/>
    <n v="0"/>
    <n v="0"/>
    <n v="12527.319253122794"/>
    <n v="12527.319253122794"/>
    <n v="0"/>
    <n v="1.1243269029677708E-2"/>
    <n v="1.1243269029677708E-2"/>
    <n v="0"/>
    <n v="1.1243269029677708E-2"/>
    <n v="1879.0978879684189"/>
    <n v="1879.0978879684189"/>
    <n v="0"/>
    <n v="1879.0978879684189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82793.5895249988"/>
    <n v="0"/>
    <n v="0"/>
    <n v="0"/>
    <n v="0"/>
    <n v="0"/>
    <n v="2082793.5895249988"/>
    <n v="0"/>
    <n v="0"/>
    <n v="0"/>
    <n v="2082793.5895249988"/>
    <n v="0"/>
    <n v="30.187112395873719"/>
    <n v="0"/>
    <n v="30.187112395873719"/>
    <n v="0"/>
    <n v="1030114.9961525723"/>
    <n v="0"/>
    <n v="1030114.9961525723"/>
    <n v="0"/>
    <x v="1"/>
  </r>
  <r>
    <x v="47"/>
    <s v=""/>
    <n v="0"/>
    <x v="2"/>
    <s v="Vestdanmark"/>
    <n v="589248.78125222854"/>
    <n v="0"/>
    <n v="0"/>
    <n v="0"/>
    <n v="0"/>
    <n v="0"/>
    <n v="0"/>
    <n v="0"/>
    <n v="589248.78125222854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6839.3191670250981"/>
    <n v="0"/>
    <n v="0"/>
    <n v="28209.340124628539"/>
    <n v="0"/>
    <n v="0"/>
    <n v="0"/>
    <n v="0"/>
    <n v="-21370.020957603439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1216.247725388857"/>
    <n v="3958.3083768700485"/>
    <n v="0"/>
    <n v="94031.1337487618"/>
    <n v="0"/>
    <n v="0"/>
    <n v="0"/>
    <n v="0"/>
    <n v="-76773.194400242995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201718.39486572551"/>
    <n v="0"/>
    <n v="0"/>
    <n v="0"/>
    <n v="0"/>
    <n v="0"/>
    <n v="201718.39486572551"/>
    <n v="0"/>
    <n v="0"/>
    <n v="0"/>
    <n v="201718.39486572551"/>
    <n v="0"/>
    <n v="3.6011212682192886"/>
    <n v="0"/>
    <n v="3.6011212682192886"/>
    <n v="0"/>
    <n v="56481.150562403149"/>
    <n v="0"/>
    <n v="56481.150562403149"/>
    <n v="0"/>
    <x v="1"/>
  </r>
  <r>
    <x v="3"/>
    <s v=""/>
    <n v="1"/>
    <x v="1"/>
    <s v="Østdanmark"/>
    <n v="34271871.713504404"/>
    <n v="0"/>
    <n v="0"/>
    <n v="0"/>
    <n v="0"/>
    <n v="0"/>
    <n v="34271871.713504404"/>
    <n v="0"/>
    <n v="0"/>
    <n v="0"/>
    <n v="34271871.713504404"/>
    <n v="0"/>
    <n v="0"/>
    <n v="0"/>
    <n v="0"/>
    <n v="0"/>
    <n v="0"/>
    <n v="0"/>
    <n v="0"/>
    <n v="0"/>
    <x v="1"/>
  </r>
  <r>
    <x v="4"/>
    <s v=""/>
    <n v="0"/>
    <x v="1"/>
    <s v="Østdanmark"/>
    <n v="1899204.5627186713"/>
    <n v="0"/>
    <n v="0"/>
    <n v="0"/>
    <n v="0"/>
    <n v="1372715.9166472442"/>
    <n v="0"/>
    <n v="0"/>
    <n v="526488.6460714270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232990.59266414485"/>
    <n v="0"/>
    <n v="0"/>
    <n v="0"/>
    <n v="23299.059266414486"/>
    <n v="0"/>
    <n v="0"/>
    <n v="0"/>
    <n v="209691.53339773035"/>
    <n v="209691.53339773035"/>
    <n v="23299.059266414486"/>
    <n v="0.11911025908327566"/>
    <n v="0.13234473231475075"/>
    <n v="1.3234473231475075E-2"/>
    <n v="0.11911025908327567"/>
    <n v="8967.1203104174983"/>
    <n v="9963.4670115749996"/>
    <n v="996.34670115749998"/>
    <n v="8967.1203104175001"/>
    <n v="0"/>
    <x v="0"/>
  </r>
  <r>
    <x v="6"/>
    <s v="Husdyrgødning"/>
    <n v="1"/>
    <x v="1"/>
    <s v="Østdanmark"/>
    <n v="265728.73054226203"/>
    <n v="0"/>
    <n v="0"/>
    <n v="0"/>
    <n v="132864.36527113101"/>
    <n v="50298.652566928169"/>
    <n v="0"/>
    <n v="0"/>
    <n v="82565.712704202859"/>
    <n v="82565.712704202859"/>
    <n v="132864.36527113101"/>
    <n v="0.17784654516485296"/>
    <n v="0.46403638795886915"/>
    <n v="0.28618984279401621"/>
    <n v="0.17784654516485293"/>
    <n v="24769.713811260855"/>
    <n v="64629.02339260016"/>
    <n v="39859.309581339301"/>
    <n v="24769.713811260859"/>
    <n v="0"/>
    <x v="0"/>
  </r>
  <r>
    <x v="7"/>
    <s v=""/>
    <n v="0"/>
    <x v="1"/>
    <s v="Østdanmark"/>
    <n v="164104.16254358823"/>
    <n v="0"/>
    <n v="0"/>
    <n v="0"/>
    <n v="0"/>
    <n v="0"/>
    <n v="0"/>
    <n v="0"/>
    <n v="164104.16254358823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454.56611706055151"/>
    <n v="0"/>
    <n v="0"/>
    <n v="0"/>
    <n v="227.28305853027575"/>
    <n v="172.0857443157802"/>
    <n v="0"/>
    <n v="0"/>
    <n v="55.197314214495577"/>
    <n v="55.197314214495577"/>
    <n v="227.28305853027575"/>
    <n v="2.5958744901935126E-5"/>
    <n v="1.3284769449813851E-4"/>
    <n v="1.0688894959620338E-4"/>
    <n v="2.5958744901935122E-5"/>
    <n v="3.4774307955132215"/>
    <n v="17.796263482920594"/>
    <n v="14.318832687407372"/>
    <n v="3.4774307955132215"/>
    <n v="0"/>
    <x v="0"/>
  </r>
  <r>
    <x v="9"/>
    <s v=""/>
    <n v="0"/>
    <x v="1"/>
    <s v="Østdanmark"/>
    <n v="4570.0262063523087"/>
    <n v="0"/>
    <n v="0"/>
    <n v="15280.059234173792"/>
    <n v="0"/>
    <n v="0"/>
    <n v="0"/>
    <n v="0"/>
    <n v="-10710.03302782148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459859.53361816495"/>
    <n v="0"/>
    <n v="0"/>
    <n v="0"/>
    <n v="0"/>
    <n v="0"/>
    <n v="0"/>
    <n v="0"/>
    <n v="459859.53361816495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55683.78957542713"/>
    <n v="0"/>
    <n v="0"/>
    <n v="223323.94265330929"/>
    <n v="0"/>
    <n v="0"/>
    <n v="0"/>
    <n v="0"/>
    <n v="-67640.153077882162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3"/>
    <s v="Græs og urter"/>
    <n v="1"/>
    <x v="1"/>
    <s v="Østdanmark"/>
    <n v="1666396.9094630885"/>
    <n v="751034.03800585715"/>
    <n v="0"/>
    <n v="0"/>
    <n v="0"/>
    <n v="0"/>
    <n v="0"/>
    <n v="476802.49130033312"/>
    <n v="438560.38015689817"/>
    <n v="438560.38015689817"/>
    <n v="0"/>
    <n v="0.80689627944117304"/>
    <n v="0.80689627944117304"/>
    <n v="0"/>
    <n v="0.80689627944117304"/>
    <n v="122796.9064439315"/>
    <n v="122796.9064439315"/>
    <n v="0"/>
    <n v="122796.9064439315"/>
    <n v="0"/>
    <x v="0"/>
  </r>
  <r>
    <x v="14"/>
    <s v=""/>
    <n v="0"/>
    <x v="1"/>
    <s v="Østdanmark"/>
    <n v="79707.736092599996"/>
    <n v="79707.7360925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76027.405090946413"/>
    <n v="0"/>
    <n v="0"/>
    <n v="233902.44520004498"/>
    <n v="0"/>
    <n v="0"/>
    <n v="0"/>
    <n v="0"/>
    <n v="-157875.04010909857"/>
    <n v="0"/>
    <n v="0"/>
    <n v="0"/>
    <n v="0"/>
    <n v="0"/>
    <n v="0"/>
    <n v="0"/>
    <n v="0"/>
    <n v="0"/>
    <n v="0"/>
    <n v="0"/>
    <x v="0"/>
  </r>
  <r>
    <x v="16"/>
    <s v="Halm og strå"/>
    <n v="1"/>
    <x v="1"/>
    <s v="Østdanmark"/>
    <n v="720937.14353414183"/>
    <n v="47444.724017206274"/>
    <n v="49668.819226303865"/>
    <n v="0"/>
    <n v="0"/>
    <n v="0"/>
    <n v="623823.60029063176"/>
    <n v="0"/>
    <n v="0"/>
    <n v="0"/>
    <n v="623823.60029063176"/>
    <n v="0"/>
    <n v="6.4477199223855344"/>
    <n v="0"/>
    <n v="6.4477199223855344"/>
    <n v="0"/>
    <n v="530250.06024703698"/>
    <n v="0"/>
    <n v="530250.06024703698"/>
    <n v="0"/>
    <x v="1"/>
  </r>
  <r>
    <x v="17"/>
    <s v="Bionedbrydeligt affald"/>
    <n v="1"/>
    <x v="1"/>
    <s v="Østdanmark"/>
    <n v="456074.89013160887"/>
    <n v="0"/>
    <n v="0"/>
    <n v="0"/>
    <n v="0"/>
    <n v="0"/>
    <n v="456074.89013160887"/>
    <n v="0"/>
    <n v="0"/>
    <n v="0"/>
    <n v="456074.89013160887"/>
    <n v="0"/>
    <n v="8.1419495125715642"/>
    <n v="0"/>
    <n v="8.1419495125715642"/>
    <n v="0"/>
    <n v="136822.46703948267"/>
    <n v="0"/>
    <n v="136822.46703948267"/>
    <n v="0"/>
    <x v="1"/>
  </r>
  <r>
    <x v="18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182710.20154485604"/>
    <n v="0"/>
    <n v="0"/>
    <n v="0"/>
    <n v="0"/>
    <n v="0"/>
    <n v="0"/>
    <n v="0"/>
    <n v="182710.20154485604"/>
    <n v="182710.20154485604"/>
    <n v="0"/>
    <n v="0.79170705562006216"/>
    <n v="0.79170705562006216"/>
    <n v="0"/>
    <n v="0.79170705562006216"/>
    <n v="76738.28464883953"/>
    <n v="76738.28464883953"/>
    <n v="0"/>
    <n v="76738.28464883953"/>
    <n v="0"/>
    <x v="0"/>
  </r>
  <r>
    <x v="20"/>
    <s v=""/>
    <n v="0"/>
    <x v="1"/>
    <s v="Østdanmark"/>
    <n v="114135.60173881784"/>
    <n v="0"/>
    <n v="0"/>
    <n v="0"/>
    <n v="0"/>
    <n v="0"/>
    <n v="0"/>
    <n v="0"/>
    <n v="114135.60173881784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90433.089420305812"/>
    <n v="0"/>
    <n v="0"/>
    <n v="106960.41463921656"/>
    <n v="0"/>
    <n v="0"/>
    <n v="0"/>
    <n v="0"/>
    <n v="-16527.32521891074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880453.021446147"/>
    <n v="360810.80385275168"/>
    <n v="0"/>
    <n v="256234.83946537593"/>
    <n v="0"/>
    <n v="0"/>
    <n v="0"/>
    <n v="0"/>
    <n v="1263407.3781280194"/>
    <n v="195159.40515559562"/>
    <n v="0"/>
    <n v="0.66839364034119331"/>
    <n v="0.66839364034119331"/>
    <n v="0"/>
    <n v="0.66839364034119331"/>
    <n v="60499.415598234642"/>
    <n v="60499.415598234642"/>
    <n v="0"/>
    <n v="60499.415598234642"/>
    <n v="0"/>
    <x v="0"/>
  </r>
  <r>
    <x v="23"/>
    <s v=""/>
    <n v="0"/>
    <x v="1"/>
    <s v="Østdanmark"/>
    <n v="0"/>
    <n v="0"/>
    <n v="0"/>
    <n v="0"/>
    <n v="0"/>
    <n v="350478.15596621751"/>
    <n v="0"/>
    <n v="0"/>
    <n v="-350478.15596621751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380945.09176051564"/>
    <n v="0"/>
    <n v="0"/>
    <n v="0"/>
    <n v="289518.26973799191"/>
    <n v="60570.269589921976"/>
    <n v="0"/>
    <n v="0"/>
    <n v="30856.552432601748"/>
    <n v="30856.552432601748"/>
    <n v="289518.26973799191"/>
    <n v="1.561927827585868E-2"/>
    <n v="0.16217053123453282"/>
    <n v="0.14655125295867413"/>
    <n v="1.5619278275858683E-2"/>
    <n v="2345.0979848777329"/>
    <n v="24348.486484965117"/>
    <n v="22003.388500087385"/>
    <n v="2345.0979848777315"/>
    <n v="0"/>
    <x v="0"/>
  </r>
  <r>
    <x v="25"/>
    <s v=""/>
    <n v="0"/>
    <x v="1"/>
    <s v="Østdanmark"/>
    <n v="47841.213402714107"/>
    <n v="93020.246856446116"/>
    <n v="0"/>
    <n v="0"/>
    <n v="0"/>
    <n v="0"/>
    <n v="0"/>
    <n v="0"/>
    <n v="-45179.033453732009"/>
    <n v="0"/>
    <n v="0"/>
    <n v="0"/>
    <n v="0"/>
    <n v="0"/>
    <n v="0"/>
    <n v="0"/>
    <n v="0"/>
    <n v="0"/>
    <n v="0"/>
    <n v="1"/>
    <x v="1"/>
  </r>
  <r>
    <x v="26"/>
    <s v="Græs og urter"/>
    <n v="1"/>
    <x v="1"/>
    <s v="Østdanmark"/>
    <n v="324811.4917880242"/>
    <n v="347176.63055464375"/>
    <n v="0"/>
    <n v="0"/>
    <n v="0"/>
    <n v="0"/>
    <n v="0"/>
    <n v="0"/>
    <n v="-22365.138766619551"/>
    <n v="0"/>
    <n v="0"/>
    <n v="0"/>
    <n v="0"/>
    <n v="0"/>
    <n v="0"/>
    <n v="0"/>
    <n v="0"/>
    <n v="0"/>
    <n v="0"/>
    <n v="0"/>
    <x v="0"/>
  </r>
  <r>
    <x v="27"/>
    <s v=""/>
    <n v="0"/>
    <x v="1"/>
    <s v="Østdanmark"/>
    <n v="92308.712787341981"/>
    <n v="0"/>
    <n v="0"/>
    <n v="409035.43180711387"/>
    <n v="0"/>
    <n v="0"/>
    <n v="0"/>
    <n v="0"/>
    <n v="-316726.719019771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2676.8401917201513"/>
    <n v="0"/>
    <n v="0"/>
    <n v="25987.85458981404"/>
    <n v="0"/>
    <n v="0"/>
    <n v="0"/>
    <n v="0"/>
    <n v="-23311.014398093888"/>
    <n v="0"/>
    <n v="0"/>
    <n v="0"/>
    <n v="0"/>
    <n v="0"/>
    <n v="0"/>
    <n v="0"/>
    <n v="0"/>
    <n v="0"/>
    <n v="0"/>
    <n v="1"/>
    <x v="1"/>
  </r>
  <r>
    <x v="30"/>
    <s v=""/>
    <n v="0"/>
    <x v="1"/>
    <s v="Østdanmark"/>
    <n v="309933.53039763391"/>
    <n v="0"/>
    <n v="0"/>
    <n v="0"/>
    <n v="0"/>
    <n v="0"/>
    <n v="0"/>
    <n v="0"/>
    <n v="309933.53039763391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26464.763790340134"/>
    <n v="0"/>
    <n v="0"/>
    <n v="0"/>
    <n v="0"/>
    <n v="0"/>
    <n v="26464.763790340134"/>
    <n v="0"/>
    <n v="0"/>
    <n v="0"/>
    <n v="26464.763790340134"/>
    <n v="0"/>
    <n v="0.48695165374225835"/>
    <n v="0"/>
    <n v="0.48695165374225835"/>
    <n v="0"/>
    <n v="10982.876972991156"/>
    <n v="0"/>
    <n v="10982.876972991156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143743.51404108317"/>
    <n v="0"/>
    <n v="0"/>
    <n v="0"/>
    <n v="0"/>
    <n v="0"/>
    <n v="0"/>
    <n v="0"/>
    <n v="143743.51404108317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51456.7046357762"/>
    <n v="0"/>
    <n v="0"/>
    <n v="0"/>
    <n v="0"/>
    <n v="0"/>
    <n v="0"/>
    <n v="151456.7046357762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75728.352317888101"/>
    <n v="13139.384750999187"/>
    <n v="0"/>
    <n v="0"/>
    <n v="0"/>
    <n v="0"/>
    <n v="0"/>
    <n v="0"/>
    <n v="62588.96756688891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8466.145483448388"/>
    <n v="0"/>
    <n v="0"/>
    <n v="0"/>
    <n v="0"/>
    <n v="0"/>
    <n v="48466.145483448388"/>
    <n v="0"/>
    <n v="0"/>
    <n v="0"/>
    <n v="48466.145483448388"/>
    <n v="0"/>
    <n v="1.6963150919206935"/>
    <n v="0"/>
    <n v="1.6963150919206935"/>
    <n v="0"/>
    <n v="44104.192389938034"/>
    <n v="0"/>
    <n v="44104.192389938034"/>
    <n v="0"/>
    <x v="1"/>
  </r>
  <r>
    <x v="38"/>
    <s v="Græs og urter"/>
    <n v="1"/>
    <x v="1"/>
    <s v="Østdanmark"/>
    <n v="426968.23377582035"/>
    <n v="51622.938415013545"/>
    <n v="0"/>
    <n v="0"/>
    <n v="0"/>
    <n v="0"/>
    <n v="0"/>
    <n v="0"/>
    <n v="375345.29536080681"/>
    <n v="199263.33288089724"/>
    <n v="0"/>
    <n v="0.5408086559720704"/>
    <n v="0.5408086559720704"/>
    <n v="0"/>
    <n v="0.5408086559720704"/>
    <n v="39852.66657617945"/>
    <n v="39852.66657617945"/>
    <n v="0"/>
    <n v="39852.66657617945"/>
    <n v="0"/>
    <x v="0"/>
  </r>
  <r>
    <x v="39"/>
    <s v=""/>
    <n v="0"/>
    <x v="1"/>
    <s v="Østdanmark"/>
    <n v="8344.0617622018926"/>
    <n v="0"/>
    <n v="0"/>
    <n v="0"/>
    <n v="0"/>
    <n v="0"/>
    <n v="0"/>
    <n v="0"/>
    <n v="8344.0617622018926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6842.7362268510151"/>
    <n v="2418.9662303094738"/>
    <n v="0"/>
    <n v="0"/>
    <n v="0"/>
    <n v="0"/>
    <n v="0"/>
    <n v="0"/>
    <n v="4423.7699965415413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38993.6511468254"/>
    <n v="0"/>
    <n v="0"/>
    <n v="0"/>
    <n v="1266309.4826732657"/>
    <n v="0"/>
    <n v="0"/>
    <n v="0"/>
    <n v="2072684.1684735597"/>
    <n v="2072684.1684735597"/>
    <n v="1266309.4826732657"/>
    <n v="1.0342901269099911"/>
    <n v="1.6661912218587775"/>
    <n v="0.63190109494878643"/>
    <n v="1.0342901269099911"/>
    <n v="124361.05010841358"/>
    <n v="200339.61906880952"/>
    <n v="75978.568960395947"/>
    <n v="124361.05010841358"/>
    <n v="0"/>
    <x v="0"/>
  </r>
  <r>
    <x v="42"/>
    <s v="Husdyrgødning"/>
    <n v="1"/>
    <x v="1"/>
    <s v="Østdanmark"/>
    <n v="667370.23542098131"/>
    <n v="0"/>
    <n v="0"/>
    <n v="0"/>
    <n v="353706.22477312014"/>
    <n v="313664.01064786117"/>
    <n v="0"/>
    <n v="0"/>
    <n v="0"/>
    <n v="0"/>
    <n v="353706.22477312014"/>
    <n v="0"/>
    <n v="0.15237664163226017"/>
    <n v="0.15237664163226017"/>
    <n v="0"/>
    <n v="0"/>
    <n v="17685.311238656006"/>
    <n v="17685.311238656006"/>
    <n v="0"/>
    <n v="0"/>
    <x v="1"/>
  </r>
  <r>
    <x v="43"/>
    <s v=""/>
    <n v="0"/>
    <x v="1"/>
    <s v="Østdanmark"/>
    <n v="74804.649769203446"/>
    <n v="0"/>
    <n v="0"/>
    <n v="52763.219924773963"/>
    <n v="0"/>
    <n v="0"/>
    <n v="0"/>
    <n v="0"/>
    <n v="22041.42984442948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596.93974470220587"/>
    <n v="0"/>
    <n v="0"/>
    <n v="0"/>
    <n v="0"/>
    <n v="0"/>
    <n v="0"/>
    <n v="3903.0602552977944"/>
    <n v="3903.0602552977944"/>
    <n v="0"/>
    <n v="3.5029965791297706E-3"/>
    <n v="3.5029965791297706E-3"/>
    <n v="0"/>
    <n v="3.5029965791297706E-3"/>
    <n v="585.45903829466909"/>
    <n v="585.45903829466909"/>
    <n v="0"/>
    <n v="585.45903829466909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840.73625530320862"/>
    <n v="0"/>
    <n v="0"/>
    <n v="29532.002020101954"/>
    <n v="0"/>
    <n v="0"/>
    <n v="0"/>
    <n v="0"/>
    <n v="-28691.265764798747"/>
    <n v="0"/>
    <n v="0"/>
    <n v="0"/>
    <n v="0"/>
    <n v="0"/>
    <n v="0"/>
    <n v="0"/>
    <n v="0"/>
    <n v="0"/>
    <n v="0"/>
    <n v="1"/>
    <x v="1"/>
  </r>
  <r>
    <x v="1"/>
    <s v=""/>
    <n v="0"/>
    <x v="2"/>
    <s v="Østdanmark"/>
    <n v="12303.077662840105"/>
    <n v="791.66167537400975"/>
    <n v="0"/>
    <n v="196880.01346734638"/>
    <n v="0"/>
    <n v="0"/>
    <n v="0"/>
    <n v="0"/>
    <n v="-185368.59747988029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256735.432171672"/>
    <n v="0"/>
    <n v="0"/>
    <n v="0"/>
    <n v="0"/>
    <n v="0"/>
    <n v="256735.432171672"/>
    <n v="0"/>
    <n v="0"/>
    <n v="0"/>
    <n v="256735.432171672"/>
    <n v="0"/>
    <n v="4.5832975505991831"/>
    <n v="0"/>
    <n v="4.5832975505991831"/>
    <n v="0"/>
    <n v="71885.921008068166"/>
    <n v="0"/>
    <n v="71885.921008068166"/>
    <n v="0"/>
    <x v="1"/>
  </r>
  <r>
    <x v="3"/>
    <s v=""/>
    <n v="1"/>
    <x v="2"/>
    <s v="Østdanmark"/>
    <n v="21554105.414743334"/>
    <n v="0"/>
    <n v="0"/>
    <n v="0"/>
    <n v="0"/>
    <n v="0"/>
    <n v="21554105.414743334"/>
    <n v="0"/>
    <n v="0"/>
    <n v="0"/>
    <n v="21554105.414743334"/>
    <n v="0"/>
    <n v="0"/>
    <n v="0"/>
    <n v="0"/>
    <n v="0"/>
    <n v="0"/>
    <n v="0"/>
    <n v="0"/>
    <n v="0"/>
    <x v="1"/>
  </r>
  <r>
    <x v="4"/>
    <s v=""/>
    <n v="0"/>
    <x v="2"/>
    <s v="Østdanmark"/>
    <n v="1307700.1887853292"/>
    <n v="0"/>
    <n v="0"/>
    <n v="0"/>
    <n v="0"/>
    <n v="255996.43484911678"/>
    <n v="0"/>
    <n v="0"/>
    <n v="1051703.7539362125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46598.118532828979"/>
    <n v="0"/>
    <n v="0"/>
    <n v="0"/>
    <n v="9319.623706565797"/>
    <n v="0"/>
    <n v="0"/>
    <n v="0"/>
    <n v="37278.494826263181"/>
    <n v="37278.494826263181"/>
    <n v="9319.623706565797"/>
    <n v="2.1175157170360122E-2"/>
    <n v="2.6468946462950154E-2"/>
    <n v="5.2937892925900313E-3"/>
    <n v="2.1175157170360122E-2"/>
    <n v="1594.1547218520002"/>
    <n v="1992.6934023150004"/>
    <n v="398.53868046300011"/>
    <n v="1594.1547218520004"/>
    <n v="0"/>
    <x v="0"/>
  </r>
  <r>
    <x v="6"/>
    <s v="Husdyrgødning"/>
    <n v="1"/>
    <x v="2"/>
    <s v="Østdanmark"/>
    <n v="77010.667859618014"/>
    <n v="0"/>
    <n v="0"/>
    <n v="0"/>
    <n v="38449.746444112672"/>
    <n v="14555.975439556938"/>
    <n v="0"/>
    <n v="0"/>
    <n v="24004.945975948402"/>
    <n v="24004.945975948402"/>
    <n v="38449.746444112672"/>
    <n v="5.1706653632192859E-2"/>
    <n v="0.13452740747281156"/>
    <n v="8.2820753840618697E-2"/>
    <n v="5.1706653632192859E-2"/>
    <n v="7201.4837927845201"/>
    <n v="18736.407726018322"/>
    <n v="11534.923933233802"/>
    <n v="7201.4837927845201"/>
    <n v="0"/>
    <x v="0"/>
  </r>
  <r>
    <x v="7"/>
    <s v=""/>
    <n v="0"/>
    <x v="2"/>
    <s v="Østdanmark"/>
    <n v="32820.832508717656"/>
    <n v="0"/>
    <n v="0"/>
    <n v="0"/>
    <n v="0"/>
    <n v="0"/>
    <n v="0"/>
    <n v="0"/>
    <n v="32820.832508717656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121.27767309664802"/>
    <n v="0"/>
    <n v="0"/>
    <n v="0"/>
    <n v="59.766906840866696"/>
    <n v="45.252086608084781"/>
    <n v="0"/>
    <n v="0"/>
    <n v="16.258679647696539"/>
    <n v="16.258679647696539"/>
    <n v="59.766906840866696"/>
    <n v="7.6462944515152055E-6"/>
    <n v="3.5754073069706404E-5"/>
    <n v="2.81077786181912E-5"/>
    <n v="7.6462944515152038E-6"/>
    <n v="1.0242968178048819"/>
    <n v="4.7896119487794842"/>
    <n v="3.765315130974602"/>
    <n v="1.0242968178048821"/>
    <n v="0"/>
    <x v="0"/>
  </r>
  <r>
    <x v="9"/>
    <s v=""/>
    <n v="0"/>
    <x v="2"/>
    <s v="Østdanmark"/>
    <n v="77.841782792402455"/>
    <n v="0"/>
    <n v="0"/>
    <n v="0"/>
    <n v="0"/>
    <n v="0"/>
    <n v="0"/>
    <n v="0"/>
    <n v="77.841782792402455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266667.67985232966"/>
    <n v="0"/>
    <n v="0"/>
    <n v="0"/>
    <n v="0"/>
    <n v="0"/>
    <n v="0"/>
    <n v="0"/>
    <n v="266667.67985232966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90279.382989087491"/>
    <n v="0"/>
    <n v="0"/>
    <n v="233795.01599247381"/>
    <n v="0"/>
    <n v="0"/>
    <n v="0"/>
    <n v="0"/>
    <n v="-143515.63300338632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3"/>
    <s v="Græs og urter"/>
    <n v="1"/>
    <x v="2"/>
    <s v="Østdanmark"/>
    <n v="1213195.5563066429"/>
    <n v="150206.80760117146"/>
    <n v="0"/>
    <n v="0"/>
    <n v="0"/>
    <n v="0"/>
    <n v="0"/>
    <n v="95360.498260066641"/>
    <n v="967628.25044540479"/>
    <n v="451126.7667083547"/>
    <n v="0"/>
    <n v="0.83001685989753415"/>
    <n v="0.83001685989753415"/>
    <n v="0"/>
    <n v="0.83001685989753415"/>
    <n v="126315.49467833932"/>
    <n v="126315.49467833932"/>
    <n v="0"/>
    <n v="126315.49467833932"/>
    <n v="0"/>
    <x v="0"/>
  </r>
  <r>
    <x v="14"/>
    <s v=""/>
    <n v="0"/>
    <x v="2"/>
    <s v="Østdanmark"/>
    <n v="15941.547218520003"/>
    <n v="15941.54721852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44087.488110293329"/>
    <n v="0"/>
    <n v="0"/>
    <n v="244869.51675001203"/>
    <n v="0"/>
    <n v="0"/>
    <n v="0"/>
    <n v="0"/>
    <n v="-200782.02863971872"/>
    <n v="0"/>
    <n v="0"/>
    <n v="0"/>
    <n v="0"/>
    <n v="0"/>
    <n v="0"/>
    <n v="0"/>
    <n v="0"/>
    <n v="0"/>
    <n v="0"/>
    <n v="0"/>
    <x v="0"/>
  </r>
  <r>
    <x v="16"/>
    <s v="Halm og strå"/>
    <n v="1"/>
    <x v="2"/>
    <s v="Østdanmark"/>
    <n v="451761.84985706571"/>
    <n v="9488.9448034412562"/>
    <n v="9360.7198522107701"/>
    <n v="0"/>
    <n v="0"/>
    <n v="0"/>
    <n v="432905.92040787602"/>
    <n v="0"/>
    <n v="6.2647935376735404"/>
    <n v="6.2647935376735404"/>
    <n v="432905.92040787602"/>
    <n v="6.4751692760054187E-5"/>
    <n v="4.4744965080932815"/>
    <n v="0"/>
    <n v="4.4744965080932815"/>
    <n v="5.3250745070225092"/>
    <n v="367975.35742120165"/>
    <n v="0"/>
    <n v="367975.35742120165"/>
    <n v="0"/>
    <x v="0"/>
  </r>
  <r>
    <x v="17"/>
    <s v="Bionedbrydeligt affald"/>
    <n v="1"/>
    <x v="2"/>
    <s v="Østdanmark"/>
    <n v="457927.02496060182"/>
    <n v="0"/>
    <n v="0"/>
    <n v="0"/>
    <n v="0"/>
    <n v="0"/>
    <n v="457927.02496060182"/>
    <n v="0"/>
    <n v="0"/>
    <n v="0"/>
    <n v="457927.02496060182"/>
    <n v="0"/>
    <n v="8.1750142319727654"/>
    <n v="0"/>
    <n v="8.1750142319727654"/>
    <n v="0"/>
    <n v="137378.10748818054"/>
    <n v="0"/>
    <n v="137378.10748818054"/>
    <n v="0"/>
    <x v="1"/>
  </r>
  <r>
    <x v="18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168720.33202425789"/>
    <n v="0"/>
    <n v="0"/>
    <n v="0"/>
    <n v="0"/>
    <n v="0"/>
    <n v="0"/>
    <n v="0"/>
    <n v="168720.33202425789"/>
    <n v="168720.33202425789"/>
    <n v="0"/>
    <n v="0.73108713230427269"/>
    <n v="0.73108713230427269"/>
    <n v="0"/>
    <n v="0.73108713230427269"/>
    <n v="70862.539450188313"/>
    <n v="70862.539450188313"/>
    <n v="0"/>
    <n v="70862.539450188313"/>
    <n v="0"/>
    <x v="0"/>
  </r>
  <r>
    <x v="20"/>
    <s v=""/>
    <n v="0"/>
    <x v="2"/>
    <s v="Østdanmark"/>
    <n v="66186.028296006189"/>
    <n v="0"/>
    <n v="0"/>
    <n v="0"/>
    <n v="0"/>
    <n v="0"/>
    <n v="0"/>
    <n v="0"/>
    <n v="66186.028296006189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52441.192091529192"/>
    <n v="0"/>
    <n v="0"/>
    <n v="111975.50765955324"/>
    <n v="0"/>
    <n v="0"/>
    <n v="0"/>
    <n v="0"/>
    <n v="-59534.315568024052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205010.4251037105"/>
    <n v="72162.160770550341"/>
    <n v="0"/>
    <n v="268249.01834925939"/>
    <n v="0"/>
    <n v="0"/>
    <n v="0"/>
    <n v="0"/>
    <n v="864599.24598390074"/>
    <n v="192606.70069262292"/>
    <n v="0"/>
    <n v="0.65965098493413665"/>
    <n v="0.65965098493413665"/>
    <n v="0"/>
    <n v="0.65965098493413665"/>
    <n v="59708.077214713107"/>
    <n v="59708.077214713107"/>
    <n v="0"/>
    <n v="59708.077214713107"/>
    <n v="0"/>
    <x v="0"/>
  </r>
  <r>
    <x v="23"/>
    <s v=""/>
    <n v="0"/>
    <x v="2"/>
    <s v="Østdanmark"/>
    <n v="0"/>
    <n v="0"/>
    <n v="0"/>
    <n v="0"/>
    <n v="0"/>
    <n v="255797.41629795096"/>
    <n v="0"/>
    <n v="0"/>
    <n v="-255797.41629795096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57848.828619790736"/>
    <n v="0"/>
    <n v="0"/>
    <n v="0"/>
    <n v="41152.526310566187"/>
    <n v="8609.541688657926"/>
    <n v="0"/>
    <n v="0"/>
    <n v="8086.7606205666234"/>
    <n v="8086.7606205666234"/>
    <n v="41152.526310566187"/>
    <n v="4.0934373585246198E-3"/>
    <n v="2.4924434651670123E-2"/>
    <n v="2.0830997293145501E-2"/>
    <n v="4.0934373585246216E-3"/>
    <n v="614.59380716306339"/>
    <n v="3742.1858067660937"/>
    <n v="3127.5919996030302"/>
    <n v="614.5938071630635"/>
    <n v="0"/>
    <x v="0"/>
  </r>
  <r>
    <x v="25"/>
    <s v=""/>
    <n v="0"/>
    <x v="2"/>
    <s v="Østdanmark"/>
    <n v="6893.1595177805384"/>
    <n v="18604.049371289228"/>
    <n v="0"/>
    <n v="0"/>
    <n v="0"/>
    <n v="0"/>
    <n v="0"/>
    <n v="0"/>
    <n v="-11710.889853508688"/>
    <n v="0"/>
    <n v="0"/>
    <n v="0"/>
    <n v="0"/>
    <n v="0"/>
    <n v="0"/>
    <n v="0"/>
    <n v="0"/>
    <n v="0"/>
    <n v="0"/>
    <n v="1"/>
    <x v="1"/>
  </r>
  <r>
    <x v="26"/>
    <s v="Græs og urter"/>
    <n v="1"/>
    <x v="2"/>
    <s v="Østdanmark"/>
    <n v="235303.4925381059"/>
    <n v="69435.326110928756"/>
    <n v="0"/>
    <n v="0"/>
    <n v="0"/>
    <n v="0"/>
    <n v="0"/>
    <n v="0"/>
    <n v="165868.16642717714"/>
    <n v="165868.16642717714"/>
    <n v="0"/>
    <n v="0.59546671747356605"/>
    <n v="0.59546671747356605"/>
    <n v="0"/>
    <n v="0.59546671747356605"/>
    <n v="49760.449928153139"/>
    <n v="49760.449928153139"/>
    <n v="0"/>
    <n v="49760.449928153139"/>
    <n v="0"/>
    <x v="0"/>
  </r>
  <r>
    <x v="27"/>
    <s v=""/>
    <n v="0"/>
    <x v="2"/>
    <s v="Østdanmark"/>
    <n v="13300.220392989411"/>
    <n v="0"/>
    <n v="0"/>
    <n v="428214.02929147833"/>
    <n v="0"/>
    <n v="0"/>
    <n v="0"/>
    <n v="0"/>
    <n v="-414913.80889848893"/>
    <n v="0"/>
    <n v="0"/>
    <n v="0"/>
    <n v="0"/>
    <n v="0"/>
    <n v="0"/>
    <n v="0"/>
    <n v="0"/>
    <n v="0"/>
    <n v="0"/>
    <n v="1"/>
    <x v="1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235.07832093771063"/>
    <n v="0"/>
    <n v="0"/>
    <n v="0"/>
    <n v="0"/>
    <n v="0"/>
    <n v="0"/>
    <n v="0"/>
    <n v="235.07832093771063"/>
    <n v="0"/>
    <n v="0"/>
    <n v="0"/>
    <n v="0"/>
    <n v="0"/>
    <n v="0"/>
    <n v="0"/>
    <n v="0"/>
    <n v="0"/>
    <n v="0"/>
    <n v="0"/>
    <x v="0"/>
  </r>
  <r>
    <x v="30"/>
    <s v=""/>
    <n v="0"/>
    <x v="2"/>
    <s v="Østdanmark"/>
    <n v="179727.17627336323"/>
    <n v="0"/>
    <n v="0"/>
    <n v="0"/>
    <n v="0"/>
    <n v="0"/>
    <n v="0"/>
    <n v="0"/>
    <n v="179727.17627336323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15346.636618106591"/>
    <n v="0"/>
    <n v="0"/>
    <n v="0"/>
    <n v="0"/>
    <n v="0"/>
    <n v="15346.636618106591"/>
    <n v="0"/>
    <n v="0"/>
    <n v="0"/>
    <n v="15346.636618106591"/>
    <n v="0"/>
    <n v="0.28237811377316124"/>
    <n v="0"/>
    <n v="0.28237811377316124"/>
    <n v="0"/>
    <n v="6368.8541965142358"/>
    <n v="0"/>
    <n v="6368.8541965142358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22096.46834587499"/>
    <n v="0"/>
    <n v="0"/>
    <n v="0"/>
    <n v="0"/>
    <n v="0"/>
    <n v="0"/>
    <n v="0"/>
    <n v="22096.46834587499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85839.954583586805"/>
    <n v="0"/>
    <n v="0"/>
    <n v="0"/>
    <n v="0"/>
    <n v="0"/>
    <n v="0"/>
    <n v="85839.954583586805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42919.977291793402"/>
    <n v="2627.8769501998377"/>
    <n v="0"/>
    <n v="0"/>
    <n v="0"/>
    <n v="0"/>
    <n v="0"/>
    <n v="0"/>
    <n v="40292.100341593563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27468.785466747777"/>
    <n v="0"/>
    <n v="0"/>
    <n v="0"/>
    <n v="0"/>
    <n v="0"/>
    <n v="27468.785466747777"/>
    <n v="0"/>
    <n v="0"/>
    <n v="0"/>
    <n v="27468.785466747777"/>
    <n v="0"/>
    <n v="0.96140749133617209"/>
    <n v="0"/>
    <n v="0.96140749133617209"/>
    <n v="0"/>
    <n v="24996.594774740479"/>
    <n v="0"/>
    <n v="24996.594774740479"/>
    <n v="0"/>
    <x v="1"/>
  </r>
  <r>
    <x v="38"/>
    <s v="Græs og urter"/>
    <n v="1"/>
    <x v="2"/>
    <s v="Østdanmark"/>
    <n v="247594.36294776335"/>
    <n v="10324.58768300271"/>
    <n v="0"/>
    <n v="0"/>
    <n v="0"/>
    <n v="0"/>
    <n v="0"/>
    <n v="0"/>
    <n v="237269.77526476065"/>
    <n v="209902.43302081013"/>
    <n v="0"/>
    <n v="0.56968359931579948"/>
    <n v="0.56968359931579948"/>
    <n v="0"/>
    <n v="0.56968359931579948"/>
    <n v="41980.486604162026"/>
    <n v="41980.486604162026"/>
    <n v="0"/>
    <n v="41980.486604162026"/>
    <n v="0"/>
    <x v="0"/>
  </r>
  <r>
    <x v="39"/>
    <s v=""/>
    <n v="0"/>
    <x v="2"/>
    <s v="Østdanmark"/>
    <n v="867.75758971205016"/>
    <n v="0"/>
    <n v="0"/>
    <n v="0"/>
    <n v="0"/>
    <n v="0"/>
    <n v="0"/>
    <n v="0"/>
    <n v="867.75758971205016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737.73165624574028"/>
    <n v="483.79324606189488"/>
    <n v="0"/>
    <n v="0"/>
    <n v="0"/>
    <n v="0"/>
    <n v="0"/>
    <n v="0"/>
    <n v="253.93841018384541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2305.9942200431"/>
    <n v="0"/>
    <n v="0"/>
    <n v="0"/>
    <n v="1324453.0115708997"/>
    <n v="0"/>
    <n v="0"/>
    <n v="0"/>
    <n v="2167852.9826491433"/>
    <n v="2167852.9826491433"/>
    <n v="1324453.0115708997"/>
    <n v="1.0817803168717492"/>
    <n v="1.7426956141757439"/>
    <n v="0.66091529730399479"/>
    <n v="1.081780316871749"/>
    <n v="130071.1789589486"/>
    <n v="209538.35965320258"/>
    <n v="79467.180694253984"/>
    <n v="130071.1789589486"/>
    <n v="0"/>
    <x v="0"/>
  </r>
  <r>
    <x v="42"/>
    <s v="Husdyrgødning"/>
    <n v="1"/>
    <x v="2"/>
    <s v="Østdanmark"/>
    <n v="17096.051577225953"/>
    <n v="0"/>
    <n v="0"/>
    <n v="0"/>
    <n v="9060.9073359297563"/>
    <n v="8035.1442412961978"/>
    <n v="0"/>
    <n v="0"/>
    <n v="0"/>
    <n v="0"/>
    <n v="9060.9073359297563"/>
    <n v="0"/>
    <n v="3.9034388803185398E-3"/>
    <n v="3.9034388803185398E-3"/>
    <n v="0"/>
    <n v="0"/>
    <n v="453.04536679648783"/>
    <n v="453.04536679648783"/>
    <n v="0"/>
    <n v="0"/>
    <x v="1"/>
  </r>
  <r>
    <x v="43"/>
    <s v=""/>
    <n v="0"/>
    <x v="2"/>
    <s v="Østdanmark"/>
    <n v="8103.284407279948"/>
    <n v="0"/>
    <n v="0"/>
    <n v="0"/>
    <n v="0"/>
    <n v="0"/>
    <n v="0"/>
    <n v="0"/>
    <n v="8103.28440727994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119.38794894044119"/>
    <n v="0"/>
    <n v="0"/>
    <n v="0"/>
    <n v="0"/>
    <n v="0"/>
    <n v="0"/>
    <n v="4380.6120510595592"/>
    <n v="4380.6120510595592"/>
    <n v="0"/>
    <n v="3.9315993158259548E-3"/>
    <n v="3.9315993158259548E-3"/>
    <n v="0"/>
    <n v="3.9315993158259548E-3"/>
    <n v="657.09180765893382"/>
    <n v="657.09180765893382"/>
    <n v="0"/>
    <n v="657.09180765893382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93911.86485397187"/>
    <n v="0"/>
    <n v="0"/>
    <n v="0"/>
    <n v="0"/>
    <n v="0"/>
    <n v="593911.86485397187"/>
    <n v="0"/>
    <n v="0"/>
    <n v="0"/>
    <n v="593911.86485397187"/>
    <n v="0"/>
    <n v="8.6079025342490016"/>
    <n v="0"/>
    <n v="8.6079025342490016"/>
    <n v="0"/>
    <n v="293738.90982569358"/>
    <n v="0"/>
    <n v="293738.90982569358"/>
    <n v="0"/>
    <x v="1"/>
  </r>
  <r>
    <x v="47"/>
    <s v=""/>
    <n v="0"/>
    <x v="2"/>
    <s v="Østdanmark"/>
    <n v="165231.73873877228"/>
    <n v="0"/>
    <n v="0"/>
    <n v="0"/>
    <n v="0"/>
    <n v="0"/>
    <n v="0"/>
    <n v="0"/>
    <n v="165231.73873877228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81488.73162783937"/>
    <n v="0"/>
    <n v="0"/>
    <n v="32579.784552999867"/>
    <n v="0"/>
    <n v="0"/>
    <n v="0"/>
    <n v="0"/>
    <n v="48908.947074839503"/>
    <n v="0"/>
    <n v="0"/>
    <n v="0"/>
    <n v="0"/>
    <n v="0"/>
    <n v="0"/>
    <n v="0"/>
    <n v="0"/>
    <n v="0"/>
    <n v="0"/>
    <x v="0"/>
  </r>
  <r>
    <x v="1"/>
    <s v=""/>
    <n v="0"/>
    <x v="1"/>
    <s v="Vestdanmark"/>
    <n v="1055703.8134178538"/>
    <n v="32249.237737595988"/>
    <n v="0"/>
    <n v="108599.28184333291"/>
    <n v="0"/>
    <n v="0"/>
    <n v="0"/>
    <n v="0"/>
    <n v="914855.29383692495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232970.42100479943"/>
    <n v="0"/>
    <n v="0"/>
    <n v="0"/>
    <n v="0"/>
    <n v="0"/>
    <n v="232970.42100479943"/>
    <n v="0"/>
    <n v="0"/>
    <n v="0"/>
    <n v="232970.42100479943"/>
    <n v="0"/>
    <n v="4.1590393305718987"/>
    <n v="0"/>
    <n v="4.1590393305718987"/>
    <n v="0"/>
    <n v="65231.717881343844"/>
    <n v="0"/>
    <n v="65231.717881343844"/>
    <x v="0"/>
  </r>
  <r>
    <x v="3"/>
    <s v=""/>
    <n v="1"/>
    <x v="1"/>
    <s v="Vestdanmark"/>
    <n v="167251712.03677821"/>
    <n v="0"/>
    <n v="0"/>
    <n v="0"/>
    <n v="0"/>
    <n v="0"/>
    <n v="167251712.03677821"/>
    <n v="0"/>
    <n v="0"/>
    <n v="0"/>
    <n v="167251712.03677821"/>
    <n v="0"/>
    <n v="0"/>
    <n v="0"/>
    <n v="0"/>
    <n v="0"/>
    <n v="0"/>
    <n v="0"/>
    <n v="0"/>
    <x v="0"/>
  </r>
  <r>
    <x v="4"/>
    <s v=""/>
    <n v="0"/>
    <x v="1"/>
    <s v="Vestdanmark"/>
    <n v="8398446.2205836736"/>
    <n v="0"/>
    <n v="0"/>
    <n v="0"/>
    <n v="0"/>
    <n v="6070268.0629610736"/>
    <n v="0"/>
    <n v="0"/>
    <n v="2328178.1576226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1898227.2976393914"/>
    <n v="0"/>
    <n v="0"/>
    <n v="0"/>
    <n v="189822.72976393916"/>
    <n v="0"/>
    <n v="0"/>
    <n v="0"/>
    <n v="1708404.5678754523"/>
    <n v="1708404.5678754523"/>
    <n v="189822.72976393916"/>
    <n v="0.9704183445152833"/>
    <n v="1.0782426050169815"/>
    <n v="0.10782426050169815"/>
    <n v="0.97041834451528342"/>
    <n v="73057.166642722514"/>
    <n v="81174.629603025009"/>
    <n v="8117.4629603025023"/>
    <n v="73057.166642722499"/>
    <x v="0"/>
  </r>
  <r>
    <x v="6"/>
    <s v="Husdyrgødning"/>
    <n v="1"/>
    <x v="1"/>
    <s v="Vestdanmark"/>
    <n v="1897012.2450900592"/>
    <n v="0"/>
    <n v="0"/>
    <n v="0"/>
    <n v="948506.12254502962"/>
    <n v="359077.31782061834"/>
    <n v="0"/>
    <n v="0"/>
    <n v="589428.80472441134"/>
    <n v="589428.80472441134"/>
    <n v="948506.12254502962"/>
    <n v="1.269629645376382"/>
    <n v="3.3127118333383763"/>
    <n v="2.043082187961994"/>
    <n v="1.2696296453763822"/>
    <n v="176828.64141732341"/>
    <n v="461380.47818083229"/>
    <n v="284551.83676350885"/>
    <n v="176828.64141732344"/>
    <x v="0"/>
  </r>
  <r>
    <x v="7"/>
    <s v=""/>
    <n v="0"/>
    <x v="1"/>
    <s v="Vestdanmark"/>
    <n v="1336993.8993439414"/>
    <n v="0"/>
    <n v="0"/>
    <n v="0"/>
    <n v="0"/>
    <n v="0"/>
    <n v="0"/>
    <n v="0"/>
    <n v="1336993.8993439414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5416.0385581725213"/>
    <n v="0"/>
    <n v="0"/>
    <n v="0"/>
    <n v="2708.0192790862607"/>
    <n v="2050.3574541653115"/>
    <n v="0"/>
    <n v="0"/>
    <n v="657.66182492094867"/>
    <n v="657.66182492094867"/>
    <n v="2708.0192790862607"/>
    <n v="3.0929177964207296E-4"/>
    <n v="1.5828461664035504E-3"/>
    <n v="1.2735543867614775E-3"/>
    <n v="3.0929177964207286E-4"/>
    <n v="41.432694970019767"/>
    <n v="212.03790955245418"/>
    <n v="170.60521458243443"/>
    <n v="41.432694970019753"/>
    <x v="0"/>
  </r>
  <r>
    <x v="9"/>
    <s v=""/>
    <n v="0"/>
    <x v="1"/>
    <s v="Vestdanmark"/>
    <n v="54450.688726027351"/>
    <n v="0"/>
    <n v="0"/>
    <n v="17647.383299541594"/>
    <n v="0"/>
    <n v="0"/>
    <n v="0"/>
    <n v="0"/>
    <n v="36803.305426485756"/>
    <n v="0"/>
    <n v="0"/>
    <n v="0"/>
    <n v="0"/>
    <n v="0"/>
    <n v="0"/>
    <n v="0"/>
    <n v="0"/>
    <n v="0"/>
    <n v="0"/>
    <x v="0"/>
  </r>
  <r>
    <x v="10"/>
    <s v=""/>
    <n v="0"/>
    <x v="1"/>
    <s v="Vestdanmark"/>
    <n v="503348.87978942681"/>
    <n v="0"/>
    <n v="0"/>
    <n v="0"/>
    <n v="0"/>
    <n v="0"/>
    <n v="0"/>
    <n v="0"/>
    <n v="503348.87978942681"/>
    <n v="0"/>
    <n v="0"/>
    <n v="0"/>
    <n v="0"/>
    <n v="0"/>
    <n v="0"/>
    <n v="0"/>
    <n v="0"/>
    <n v="0"/>
    <n v="0"/>
    <x v="0"/>
  </r>
  <r>
    <x v="11"/>
    <s v=""/>
    <n v="0"/>
    <x v="1"/>
    <s v="Vestdanmark"/>
    <n v="212870.55640082812"/>
    <n v="0"/>
    <n v="0"/>
    <n v="257923.29437791562"/>
    <n v="0"/>
    <n v="0"/>
    <n v="0"/>
    <n v="0"/>
    <n v="-45052.737977087498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3"/>
    <s v="Græs og urter"/>
    <n v="1"/>
    <x v="1"/>
    <s v="Vestdanmark"/>
    <n v="10019425.413707765"/>
    <n v="6118844.9546291493"/>
    <n v="0"/>
    <n v="0"/>
    <n v="0"/>
    <n v="0"/>
    <n v="0"/>
    <n v="3884618.233807533"/>
    <n v="15962.225271081552"/>
    <n v="15962.225271081552"/>
    <n v="0"/>
    <n v="2.9368499220631172E-2"/>
    <n v="2.9368499220631172E-2"/>
    <n v="0"/>
    <n v="2.9368499220631172E-2"/>
    <n v="4469.4230759028351"/>
    <n v="4469.4230759028351"/>
    <n v="0"/>
    <n v="4469.4230759028351"/>
    <x v="0"/>
  </r>
  <r>
    <x v="14"/>
    <s v=""/>
    <n v="0"/>
    <x v="1"/>
    <s v="Vestdanmark"/>
    <n v="649397.03682420007"/>
    <n v="649397.03682420007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914917.20796027384"/>
    <n v="0"/>
    <n v="0"/>
    <n v="270140.71358529059"/>
    <n v="0"/>
    <n v="0"/>
    <n v="0"/>
    <n v="0"/>
    <n v="644776.49437498325"/>
    <n v="0"/>
    <n v="0"/>
    <n v="0"/>
    <n v="0"/>
    <n v="0"/>
    <n v="0"/>
    <n v="0"/>
    <n v="0"/>
    <n v="0"/>
    <n v="0"/>
    <x v="0"/>
  </r>
  <r>
    <x v="16"/>
    <s v="Halm og strå"/>
    <n v="1"/>
    <x v="1"/>
    <s v="Vestdanmark"/>
    <n v="1175164.654924925"/>
    <n v="386542.94677146303"/>
    <n v="349975.86857885815"/>
    <n v="0"/>
    <n v="0"/>
    <n v="0"/>
    <n v="438645.83957460371"/>
    <n v="0"/>
    <n v="0"/>
    <n v="0"/>
    <n v="438645.83957460371"/>
    <n v="0"/>
    <n v="4.5337584493101053"/>
    <n v="0"/>
    <n v="4.5337584493101053"/>
    <n v="0"/>
    <n v="372848.96363841317"/>
    <n v="0"/>
    <n v="372848.96363841317"/>
    <x v="0"/>
  </r>
  <r>
    <x v="17"/>
    <s v="Bionedbrydeligt affald"/>
    <n v="1"/>
    <x v="1"/>
    <s v="Vestdanmark"/>
    <n v="526734.10986839118"/>
    <n v="0"/>
    <n v="0"/>
    <n v="0"/>
    <n v="0"/>
    <n v="0"/>
    <n v="526734.10986839118"/>
    <n v="0"/>
    <n v="0"/>
    <n v="0"/>
    <n v="526734.10986839118"/>
    <n v="0"/>
    <n v="9.4033734851313486"/>
    <n v="0"/>
    <n v="9.4033734851313486"/>
    <n v="0"/>
    <n v="158020.23296051734"/>
    <n v="0"/>
    <n v="158020.23296051734"/>
    <x v="0"/>
  </r>
  <r>
    <x v="18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9"/>
    <s v="Bionedbrydeligt affald"/>
    <n v="1"/>
    <x v="1"/>
    <s v="Vestdanmark"/>
    <n v="344385.13737273094"/>
    <n v="0"/>
    <n v="0"/>
    <n v="0"/>
    <n v="0"/>
    <n v="0"/>
    <n v="0"/>
    <n v="0"/>
    <n v="344385.13737273094"/>
    <n v="344385.13737273094"/>
    <n v="0"/>
    <n v="1.4922655703039018"/>
    <n v="1.4922655703039018"/>
    <n v="0"/>
    <n v="1.4922655703039018"/>
    <n v="144641.75769654699"/>
    <n v="144641.75769654699"/>
    <n v="0"/>
    <n v="144641.75769654699"/>
    <x v="0"/>
  </r>
  <r>
    <x v="20"/>
    <s v=""/>
    <n v="0"/>
    <x v="1"/>
    <s v="Vestdanmark"/>
    <n v="474846.15363376588"/>
    <n v="0"/>
    <n v="0"/>
    <n v="0"/>
    <n v="0"/>
    <n v="0"/>
    <n v="0"/>
    <n v="0"/>
    <n v="474846.15363376588"/>
    <n v="0"/>
    <n v="0"/>
    <n v="0"/>
    <n v="0"/>
    <n v="0"/>
    <n v="0"/>
    <n v="0"/>
    <n v="0"/>
    <n v="0"/>
    <n v="0"/>
    <x v="0"/>
  </r>
  <r>
    <x v="21"/>
    <s v=""/>
    <n v="0"/>
    <x v="1"/>
    <s v="Vestdanmark"/>
    <n v="1309144.9470220618"/>
    <n v="0"/>
    <n v="0"/>
    <n v="123531.68309679118"/>
    <n v="0"/>
    <n v="0"/>
    <n v="0"/>
    <n v="0"/>
    <n v="1185613.2639252706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2167292.6710484698"/>
    <n v="2939607.6009978116"/>
    <n v="0"/>
    <n v="295933.04302308214"/>
    <n v="0"/>
    <n v="0"/>
    <n v="0"/>
    <n v="0"/>
    <n v="-1068247.9729724238"/>
    <n v="0"/>
    <n v="0"/>
    <n v="0"/>
    <n v="0"/>
    <n v="0"/>
    <n v="0"/>
    <n v="0"/>
    <n v="0"/>
    <n v="0"/>
    <n v="0"/>
    <x v="0"/>
  </r>
  <r>
    <x v="23"/>
    <s v=""/>
    <n v="0"/>
    <x v="1"/>
    <s v="Vestdanmark"/>
    <n v="0"/>
    <n v="0"/>
    <n v="0"/>
    <n v="0"/>
    <n v="0"/>
    <n v="864168.35414458788"/>
    <n v="0"/>
    <n v="0"/>
    <n v="-864168.3541445878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5359836.7780819526"/>
    <n v="0"/>
    <n v="0"/>
    <n v="0"/>
    <n v="4073475.9513422842"/>
    <n v="852214.04771503038"/>
    <n v="0"/>
    <n v="0"/>
    <n v="434146.77902463824"/>
    <n v="434146.77902463824"/>
    <n v="4073475.9513422842"/>
    <n v="0.21976075807448164"/>
    <n v="2.281713549884433"/>
    <n v="2.0619527918099512"/>
    <n v="0.21976075807448181"/>
    <n v="32995.155205872506"/>
    <n v="342579.3275078861"/>
    <n v="309584.17230201361"/>
    <n v="32995.155205872492"/>
    <x v="0"/>
  </r>
  <r>
    <x v="25"/>
    <s v=""/>
    <n v="0"/>
    <x v="1"/>
    <s v="Vestdanmark"/>
    <n v="673118.25417909713"/>
    <n v="757857.08683350566"/>
    <n v="0"/>
    <n v="0"/>
    <n v="0"/>
    <n v="0"/>
    <n v="0"/>
    <n v="0"/>
    <n v="-84738.832654408528"/>
    <n v="0"/>
    <n v="0"/>
    <n v="0"/>
    <n v="0"/>
    <n v="0"/>
    <n v="0"/>
    <n v="0"/>
    <n v="0"/>
    <n v="0"/>
    <n v="0"/>
    <x v="1"/>
  </r>
  <r>
    <x v="26"/>
    <s v="Græs og urter"/>
    <n v="1"/>
    <x v="1"/>
    <s v="Vestdanmark"/>
    <n v="3542262.6085471725"/>
    <n v="2828526.8932349812"/>
    <n v="0"/>
    <n v="0"/>
    <n v="0"/>
    <n v="0"/>
    <n v="0"/>
    <n v="0"/>
    <n v="713735.71531219129"/>
    <n v="691370.57654557168"/>
    <n v="0"/>
    <n v="2.4820203697986027"/>
    <n v="2.4820203697986027"/>
    <n v="0"/>
    <n v="2.4820203697986027"/>
    <n v="207411.1729636715"/>
    <n v="207411.1729636715"/>
    <n v="0"/>
    <n v="207411.1729636715"/>
    <x v="0"/>
  </r>
  <r>
    <x v="27"/>
    <s v=""/>
    <n v="0"/>
    <x v="1"/>
    <s v="Vestdanmark"/>
    <n v="1298768.8893653844"/>
    <n v="0"/>
    <n v="0"/>
    <n v="472406.87601849809"/>
    <n v="0"/>
    <n v="0"/>
    <n v="0"/>
    <n v="0"/>
    <n v="826362.01334688626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37662.715228391091"/>
    <n v="0"/>
    <n v="0"/>
    <n v="30014.126519451132"/>
    <n v="0"/>
    <n v="0"/>
    <n v="0"/>
    <n v="0"/>
    <n v="7648.5887089399585"/>
    <n v="0"/>
    <n v="0"/>
    <n v="0"/>
    <n v="0"/>
    <n v="0"/>
    <n v="0"/>
    <n v="0"/>
    <n v="0"/>
    <n v="0"/>
    <n v="0"/>
    <x v="1"/>
  </r>
  <r>
    <x v="30"/>
    <s v=""/>
    <n v="0"/>
    <x v="1"/>
    <s v="Vestdanmark"/>
    <n v="997813.12750469695"/>
    <n v="0"/>
    <n v="0"/>
    <n v="0"/>
    <n v="0"/>
    <n v="0"/>
    <n v="0"/>
    <n v="0"/>
    <n v="997813.12750469695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85201.780821949884"/>
    <n v="0"/>
    <n v="0"/>
    <n v="0"/>
    <n v="0"/>
    <n v="0"/>
    <n v="85201.780821949884"/>
    <n v="0"/>
    <n v="0"/>
    <n v="0"/>
    <n v="85201.780821949884"/>
    <n v="0"/>
    <n v="1.5677127671238775"/>
    <n v="0"/>
    <n v="1.5677127671238775"/>
    <n v="0"/>
    <n v="35358.739041109206"/>
    <n v="0"/>
    <n v="35358.739041109206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2022448.3523533144"/>
    <n v="0"/>
    <n v="0"/>
    <n v="0"/>
    <n v="0"/>
    <n v="0"/>
    <n v="0"/>
    <n v="0"/>
    <n v="2022448.3523533144"/>
    <n v="0"/>
    <n v="0"/>
    <n v="0"/>
    <n v="0"/>
    <n v="0"/>
    <n v="0"/>
    <n v="0"/>
    <n v="0"/>
    <n v="0"/>
    <n v="0"/>
    <x v="0"/>
  </r>
  <r>
    <x v="35"/>
    <s v=""/>
    <n v="0"/>
    <x v="1"/>
    <s v="Vestdanmark"/>
    <n v="304634.88719504897"/>
    <n v="0"/>
    <n v="0"/>
    <n v="0"/>
    <n v="0"/>
    <n v="0"/>
    <n v="0"/>
    <n v="304634.88719504897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152317.44359752449"/>
    <n v="107049.55304563112"/>
    <n v="0"/>
    <n v="0"/>
    <n v="0"/>
    <n v="0"/>
    <n v="0"/>
    <n v="0"/>
    <n v="45267.89055189336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97483.163902415676"/>
    <n v="0"/>
    <n v="0"/>
    <n v="0"/>
    <n v="0"/>
    <n v="0"/>
    <n v="97483.163902415676"/>
    <n v="0"/>
    <n v="0"/>
    <n v="0"/>
    <n v="97483.163902415676"/>
    <n v="0"/>
    <n v="3.4119107365845482"/>
    <n v="0"/>
    <n v="3.4119107365845482"/>
    <n v="0"/>
    <n v="88709.679151198274"/>
    <n v="0"/>
    <n v="88709.679151198274"/>
    <x v="0"/>
  </r>
  <r>
    <x v="38"/>
    <s v="Græs og urter"/>
    <n v="1"/>
    <x v="1"/>
    <s v="Vestdanmark"/>
    <n v="244501.84634790485"/>
    <n v="420583.80882781441"/>
    <n v="0"/>
    <n v="0"/>
    <n v="0"/>
    <n v="0"/>
    <n v="0"/>
    <n v="0"/>
    <n v="-176081.96247990956"/>
    <n v="0"/>
    <n v="0"/>
    <n v="0"/>
    <n v="0"/>
    <n v="0"/>
    <n v="0"/>
    <n v="0"/>
    <n v="0"/>
    <n v="0"/>
    <n v="0"/>
    <x v="0"/>
  </r>
  <r>
    <x v="39"/>
    <s v=""/>
    <n v="0"/>
    <x v="1"/>
    <s v="Vestdanmark"/>
    <n v="70212.674391725712"/>
    <n v="0"/>
    <n v="0"/>
    <n v="0"/>
    <n v="0"/>
    <n v="0"/>
    <n v="0"/>
    <n v="0"/>
    <n v="70212.674391725712"/>
    <n v="0"/>
    <n v="0"/>
    <n v="0"/>
    <n v="0"/>
    <n v="0"/>
    <n v="0"/>
    <n v="0"/>
    <n v="0"/>
    <n v="0"/>
    <n v="0"/>
    <x v="0"/>
  </r>
  <r>
    <x v="40"/>
    <s v=""/>
    <n v="0"/>
    <x v="1"/>
    <s v="Vestdanmark"/>
    <n v="48453.238883082529"/>
    <n v="19707.867506308663"/>
    <n v="0"/>
    <n v="0"/>
    <n v="0"/>
    <n v="0"/>
    <n v="0"/>
    <n v="0"/>
    <n v="28745.371376773866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02711.417929336"/>
    <n v="0"/>
    <n v="0"/>
    <n v="0"/>
    <n v="1480098.7941273053"/>
    <n v="0"/>
    <n v="0"/>
    <n v="0"/>
    <n v="2422612.6238020305"/>
    <n v="2422612.6238020305"/>
    <n v="1480098.7941273053"/>
    <n v="1.2089079254034514"/>
    <n v="1.9474920246609182"/>
    <n v="0.73858409925746671"/>
    <n v="1.2089079254034516"/>
    <n v="145356.75742812181"/>
    <n v="234162.68507576012"/>
    <n v="88805.927647638309"/>
    <n v="145356.75742812181"/>
    <x v="0"/>
  </r>
  <r>
    <x v="42"/>
    <s v="Husdyrgødning"/>
    <n v="1"/>
    <x v="1"/>
    <s v="Vestdanmark"/>
    <n v="4605821.4125648942"/>
    <n v="0"/>
    <n v="0"/>
    <n v="0"/>
    <n v="2441085.3486593938"/>
    <n v="2164736.0639055003"/>
    <n v="0"/>
    <n v="0"/>
    <n v="0"/>
    <n v="0"/>
    <n v="2441085.3486593938"/>
    <n v="0"/>
    <n v="1.0516195682024669"/>
    <n v="1.0516195682024669"/>
    <n v="0"/>
    <n v="0"/>
    <n v="122054.2674329697"/>
    <n v="122054.2674329697"/>
    <n v="0"/>
    <x v="0"/>
  </r>
  <r>
    <x v="43"/>
    <s v=""/>
    <n v="0"/>
    <x v="1"/>
    <s v="Vestdanmark"/>
    <n v="516260.44941767416"/>
    <n v="0"/>
    <n v="0"/>
    <n v="60937.772024340171"/>
    <n v="0"/>
    <n v="0"/>
    <n v="0"/>
    <n v="0"/>
    <n v="455322.67739333399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4863.4037343860291"/>
    <n v="0"/>
    <n v="0"/>
    <n v="0"/>
    <n v="0"/>
    <n v="0"/>
    <n v="0"/>
    <n v="8636.5962656139709"/>
    <n v="8636.5962656139709"/>
    <n v="0"/>
    <n v="7.7513451483885399E-3"/>
    <n v="7.7513451483885399E-3"/>
    <n v="0"/>
    <n v="7.7513451483885399E-3"/>
    <n v="1295.4894398420956"/>
    <n v="1295.4894398420956"/>
    <n v="0"/>
    <n v="1295.4894398420956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10017.156591918179"/>
    <n v="0"/>
    <n v="0"/>
    <n v="33849.968886444818"/>
    <n v="0"/>
    <n v="0"/>
    <n v="0"/>
    <n v="0"/>
    <n v="-23832.812294526637"/>
    <n v="0"/>
    <n v="0"/>
    <n v="0"/>
    <n v="0"/>
    <n v="0"/>
    <n v="0"/>
    <n v="0"/>
    <n v="0"/>
    <n v="0"/>
    <n v="0"/>
    <x v="1"/>
  </r>
  <r>
    <x v="1"/>
    <s v=""/>
    <n v="0"/>
    <x v="2"/>
    <s v="Vestdanmark"/>
    <n v="463084.0167324213"/>
    <n v="6449.847547519199"/>
    <n v="0"/>
    <n v="225666.45924296544"/>
    <n v="0"/>
    <n v="0"/>
    <n v="0"/>
    <n v="0"/>
    <n v="230967.70994193666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294273.52690628928"/>
    <n v="0"/>
    <n v="0"/>
    <n v="0"/>
    <n v="0"/>
    <n v="0"/>
    <n v="294273.52690628928"/>
    <n v="0"/>
    <n v="0"/>
    <n v="0"/>
    <n v="294273.52690628928"/>
    <n v="0"/>
    <n v="5.2534358957275158"/>
    <n v="0"/>
    <n v="5.2534358957275158"/>
    <n v="0"/>
    <n v="82396.587533761005"/>
    <n v="0"/>
    <n v="82396.587533761005"/>
    <x v="0"/>
  </r>
  <r>
    <x v="3"/>
    <s v=""/>
    <n v="1"/>
    <x v="2"/>
    <s v="Vestdanmark"/>
    <n v="47333608.503108315"/>
    <n v="0"/>
    <n v="0"/>
    <n v="0"/>
    <n v="0"/>
    <n v="0"/>
    <n v="47333608.503108315"/>
    <n v="0"/>
    <n v="0"/>
    <n v="0"/>
    <n v="47333608.503108315"/>
    <n v="0"/>
    <n v="0"/>
    <n v="0"/>
    <n v="0"/>
    <n v="0"/>
    <n v="0"/>
    <n v="0"/>
    <n v="0"/>
    <x v="0"/>
  </r>
  <r>
    <x v="4"/>
    <s v=""/>
    <n v="0"/>
    <x v="2"/>
    <s v="Vestdanmark"/>
    <n v="2304396.4133591549"/>
    <n v="0"/>
    <n v="0"/>
    <n v="0"/>
    <n v="0"/>
    <n v="451110.48492467229"/>
    <n v="0"/>
    <n v="0"/>
    <n v="1853285.9284344828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379645.45952787838"/>
    <n v="0"/>
    <n v="0"/>
    <n v="0"/>
    <n v="75929.091905575682"/>
    <n v="0"/>
    <n v="0"/>
    <n v="0"/>
    <n v="303716.36762230273"/>
    <n v="303716.36762230273"/>
    <n v="75929.091905575682"/>
    <n v="0.17251881680271708"/>
    <n v="0.21564852100339635"/>
    <n v="4.312970420067927E-2"/>
    <n v="0.17251881680271708"/>
    <n v="12987.940736484006"/>
    <n v="16234.925920605008"/>
    <n v="3246.9851841210016"/>
    <n v="12987.940736484006"/>
    <x v="0"/>
  </r>
  <r>
    <x v="6"/>
    <s v="Husdyrgødning"/>
    <n v="1"/>
    <x v="2"/>
    <s v="Vestdanmark"/>
    <n v="537198.25456001912"/>
    <n v="0"/>
    <n v="0"/>
    <n v="0"/>
    <n v="267858.6677775862"/>
    <n v="101403.63851580049"/>
    <n v="0"/>
    <n v="0"/>
    <n v="167935.94826663245"/>
    <n v="167935.94826663245"/>
    <n v="267858.6677775862"/>
    <n v="0.3617340325663263"/>
    <n v="0.93870160295924698"/>
    <n v="0.57696757039292068"/>
    <n v="0.3617340325663263"/>
    <n v="50380.784479989736"/>
    <n v="130738.38481326558"/>
    <n v="80357.600333275856"/>
    <n v="50380.784479989728"/>
    <x v="0"/>
  </r>
  <r>
    <x v="7"/>
    <s v=""/>
    <n v="0"/>
    <x v="2"/>
    <s v="Vestdanmark"/>
    <n v="267398.77986878838"/>
    <n v="0"/>
    <n v="0"/>
    <n v="0"/>
    <n v="0"/>
    <n v="0"/>
    <n v="0"/>
    <n v="0"/>
    <n v="267398.77986878838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1444.9923324342087"/>
    <n v="0"/>
    <n v="0"/>
    <n v="0"/>
    <n v="712.10734765283848"/>
    <n v="539.16699179429202"/>
    <n v="0"/>
    <n v="0"/>
    <n v="193.71799298707833"/>
    <n v="193.71799298707833"/>
    <n v="712.10734765283848"/>
    <n v="9.1103634921893068E-5"/>
    <n v="4.2600059944954648E-4"/>
    <n v="3.3489696452765344E-4"/>
    <n v="9.1103634921893041E-5"/>
    <n v="12.204233558185935"/>
    <n v="57.066996460314762"/>
    <n v="44.862762902128821"/>
    <n v="12.20423355818594"/>
    <x v="0"/>
  </r>
  <r>
    <x v="9"/>
    <s v=""/>
    <n v="0"/>
    <x v="2"/>
    <s v="Vestdanmark"/>
    <n v="927.46485322482272"/>
    <n v="0"/>
    <n v="0"/>
    <n v="0"/>
    <n v="0"/>
    <n v="0"/>
    <n v="0"/>
    <n v="0"/>
    <n v="927.46485322482272"/>
    <n v="0"/>
    <n v="0"/>
    <n v="0"/>
    <n v="0"/>
    <n v="0"/>
    <n v="0"/>
    <n v="0"/>
    <n v="0"/>
    <n v="0"/>
    <n v="0"/>
    <x v="0"/>
  </r>
  <r>
    <x v="10"/>
    <s v=""/>
    <n v="0"/>
    <x v="2"/>
    <s v="Vestdanmark"/>
    <n v="116828.38870778363"/>
    <n v="0"/>
    <n v="0"/>
    <n v="0"/>
    <n v="0"/>
    <n v="0"/>
    <n v="0"/>
    <n v="0"/>
    <n v="116828.38870778363"/>
    <n v="0"/>
    <n v="0"/>
    <n v="0"/>
    <n v="0"/>
    <n v="0"/>
    <n v="0"/>
    <n v="0"/>
    <n v="0"/>
    <n v="0"/>
    <n v="0"/>
    <x v="0"/>
  </r>
  <r>
    <x v="11"/>
    <s v=""/>
    <n v="0"/>
    <x v="2"/>
    <s v="Vestdanmark"/>
    <n v="95084.225804193949"/>
    <n v="0"/>
    <n v="0"/>
    <n v="267978.92035102146"/>
    <n v="0"/>
    <n v="0"/>
    <n v="0"/>
    <n v="0"/>
    <n v="-172894.6945468275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3"/>
    <s v="Græs og urter"/>
    <n v="1"/>
    <x v="2"/>
    <s v="Vestdanmark"/>
    <n v="1484191.1539502868"/>
    <n v="1223768.9909258301"/>
    <n v="0"/>
    <n v="0"/>
    <n v="0"/>
    <n v="0"/>
    <n v="0"/>
    <n v="776923.6467615068"/>
    <n v="-516501.48373705009"/>
    <n v="0"/>
    <n v="0"/>
    <n v="0"/>
    <n v="0"/>
    <n v="0"/>
    <n v="0"/>
    <n v="0"/>
    <n v="0"/>
    <n v="0"/>
    <n v="0"/>
    <x v="0"/>
  </r>
  <r>
    <x v="14"/>
    <s v=""/>
    <n v="0"/>
    <x v="2"/>
    <s v="Vestdanmark"/>
    <n v="129879.40736484005"/>
    <n v="129879.40736484004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520430.19403510873"/>
    <n v="0"/>
    <n v="0"/>
    <n v="280672.65868343826"/>
    <n v="0"/>
    <n v="0"/>
    <n v="0"/>
    <n v="0"/>
    <n v="239757.53535167046"/>
    <n v="0"/>
    <n v="0"/>
    <n v="0"/>
    <n v="0"/>
    <n v="0"/>
    <n v="0"/>
    <n v="0"/>
    <n v="0"/>
    <n v="0"/>
    <n v="0"/>
    <x v="0"/>
  </r>
  <r>
    <x v="16"/>
    <s v="Halm og strå"/>
    <n v="1"/>
    <x v="2"/>
    <s v="Vestdanmark"/>
    <n v="247438.43863194692"/>
    <n v="77308.589354292635"/>
    <n v="66293.363186171628"/>
    <n v="0"/>
    <n v="0"/>
    <n v="0"/>
    <n v="103753.18781488619"/>
    <n v="0"/>
    <n v="83.298276596469805"/>
    <n v="83.298276596469805"/>
    <n v="103753.18781488619"/>
    <n v="8.6095485528476037E-4"/>
    <n v="1.0732338111777837"/>
    <n v="0"/>
    <n v="1.0732338111777837"/>
    <n v="70.803535106999334"/>
    <n v="88261.013177760251"/>
    <n v="0"/>
    <n v="88261.013177760251"/>
    <x v="0"/>
  </r>
  <r>
    <x v="17"/>
    <s v="Bionedbrydeligt affald"/>
    <n v="1"/>
    <x v="2"/>
    <s v="Vestdanmark"/>
    <n v="524881.97503939818"/>
    <n v="0"/>
    <n v="0"/>
    <n v="0"/>
    <n v="0"/>
    <n v="0"/>
    <n v="524881.97503939818"/>
    <n v="0"/>
    <n v="0"/>
    <n v="0"/>
    <n v="524881.97503939818"/>
    <n v="0"/>
    <n v="9.3703087657301456"/>
    <n v="0"/>
    <n v="9.3703087657301456"/>
    <n v="0"/>
    <n v="157464.59251181944"/>
    <n v="0"/>
    <n v="157464.59251181944"/>
    <x v="0"/>
  </r>
  <r>
    <x v="18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9"/>
    <s v="Bionedbrydeligt affald"/>
    <n v="1"/>
    <x v="2"/>
    <s v="Vestdanmark"/>
    <n v="217311.45572171282"/>
    <n v="0"/>
    <n v="0"/>
    <n v="0"/>
    <n v="0"/>
    <n v="0"/>
    <n v="0"/>
    <n v="0"/>
    <n v="217311.45572171282"/>
    <n v="217311.45572171282"/>
    <n v="0"/>
    <n v="0.94163878813142554"/>
    <n v="0.94163878813142554"/>
    <n v="0"/>
    <n v="0.94163878813142554"/>
    <n v="91270.811403119384"/>
    <n v="91270.811403119384"/>
    <n v="0"/>
    <n v="91270.811403119384"/>
    <x v="0"/>
  </r>
  <r>
    <x v="20"/>
    <s v=""/>
    <n v="0"/>
    <x v="2"/>
    <s v="Vestdanmark"/>
    <n v="110212.84290198362"/>
    <n v="0"/>
    <n v="0"/>
    <n v="0"/>
    <n v="0"/>
    <n v="0"/>
    <n v="0"/>
    <n v="0"/>
    <n v="110212.84290198362"/>
    <n v="0"/>
    <n v="0"/>
    <n v="0"/>
    <n v="0"/>
    <n v="0"/>
    <n v="0"/>
    <n v="0"/>
    <n v="0"/>
    <n v="0"/>
    <n v="0"/>
    <x v="0"/>
  </r>
  <r>
    <x v="21"/>
    <s v=""/>
    <n v="0"/>
    <x v="2"/>
    <s v="Vestdanmark"/>
    <n v="303855.43881513749"/>
    <n v="0"/>
    <n v="0"/>
    <n v="128347.79869443661"/>
    <n v="0"/>
    <n v="0"/>
    <n v="0"/>
    <n v="0"/>
    <n v="175507.64012070087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223399.5256268252"/>
    <n v="587921.52019956254"/>
    <n v="0"/>
    <n v="307470.55071854044"/>
    <n v="0"/>
    <n v="0"/>
    <n v="0"/>
    <n v="0"/>
    <n v="-671992.54529127781"/>
    <n v="0"/>
    <n v="0"/>
    <n v="0"/>
    <n v="0"/>
    <n v="0"/>
    <n v="0"/>
    <n v="0"/>
    <n v="0"/>
    <n v="0"/>
    <n v="0"/>
    <x v="0"/>
  </r>
  <r>
    <x v="23"/>
    <s v=""/>
    <n v="0"/>
    <x v="2"/>
    <s v="Vestdanmark"/>
    <n v="0"/>
    <n v="0"/>
    <n v="0"/>
    <n v="0"/>
    <n v="0"/>
    <n v="388055.99862344295"/>
    <n v="0"/>
    <n v="0"/>
    <n v="-388055.99862344295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813923.80663677445"/>
    <n v="0"/>
    <n v="0"/>
    <n v="0"/>
    <n v="579009.4919217953"/>
    <n v="121134.88054679664"/>
    <n v="0"/>
    <n v="0"/>
    <n v="113779.43416818255"/>
    <n v="113779.43416818255"/>
    <n v="579009.4919217953"/>
    <n v="5.7594011781592333E-2"/>
    <n v="0.35068282649748594"/>
    <n v="0.2930888147158936"/>
    <n v="5.7594011781592347E-2"/>
    <n v="8647.236996781874"/>
    <n v="52651.958382838318"/>
    <n v="44004.721386056444"/>
    <n v="8647.236996781874"/>
    <x v="0"/>
  </r>
  <r>
    <x v="25"/>
    <s v=""/>
    <n v="0"/>
    <x v="2"/>
    <s v="Vestdanmark"/>
    <n v="96985.656725070323"/>
    <n v="151571.41736670118"/>
    <n v="0"/>
    <n v="0"/>
    <n v="0"/>
    <n v="0"/>
    <n v="0"/>
    <n v="0"/>
    <n v="-54585.760641630855"/>
    <n v="0"/>
    <n v="0"/>
    <n v="0"/>
    <n v="0"/>
    <n v="0"/>
    <n v="0"/>
    <n v="0"/>
    <n v="0"/>
    <n v="0"/>
    <n v="0"/>
    <x v="1"/>
  </r>
  <r>
    <x v="26"/>
    <s v="Græs og urter"/>
    <n v="1"/>
    <x v="2"/>
    <s v="Vestdanmark"/>
    <n v="678402.70281965565"/>
    <n v="565705.37864699645"/>
    <n v="0"/>
    <n v="0"/>
    <n v="0"/>
    <n v="0"/>
    <n v="0"/>
    <n v="0"/>
    <n v="112697.3241726592"/>
    <n v="112697.3241726592"/>
    <n v="0"/>
    <n v="0.40458339377984653"/>
    <n v="0.40458339377984653"/>
    <n v="0"/>
    <n v="0.40458339377984653"/>
    <n v="33809.197251797756"/>
    <n v="33809.197251797756"/>
    <n v="0"/>
    <n v="33809.197251797756"/>
    <x v="0"/>
  </r>
  <r>
    <x v="27"/>
    <s v=""/>
    <n v="0"/>
    <x v="2"/>
    <s v="Vestdanmark"/>
    <n v="187131.9829571539"/>
    <n v="0"/>
    <n v="0"/>
    <n v="490824.54885344987"/>
    <n v="0"/>
    <n v="0"/>
    <n v="0"/>
    <n v="0"/>
    <n v="-303692.56589629594"/>
    <n v="0"/>
    <n v="0"/>
    <n v="0"/>
    <n v="0"/>
    <n v="0"/>
    <n v="0"/>
    <n v="0"/>
    <n v="0"/>
    <n v="0"/>
    <n v="0"/>
    <x v="1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3307.5145409244233"/>
    <n v="0"/>
    <n v="0"/>
    <n v="0"/>
    <n v="0"/>
    <n v="0"/>
    <n v="0"/>
    <n v="0"/>
    <n v="3307.5145409244233"/>
    <n v="0"/>
    <n v="0"/>
    <n v="0"/>
    <n v="0"/>
    <n v="0"/>
    <n v="0"/>
    <n v="0"/>
    <n v="0"/>
    <n v="0"/>
    <n v="0"/>
    <x v="0"/>
  </r>
  <r>
    <x v="30"/>
    <s v=""/>
    <n v="0"/>
    <x v="2"/>
    <s v="Vestdanmark"/>
    <n v="231594.63465303747"/>
    <n v="0"/>
    <n v="0"/>
    <n v="0"/>
    <n v="0"/>
    <n v="0"/>
    <n v="0"/>
    <n v="0"/>
    <n v="231594.63465303747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9775.521846053056"/>
    <n v="0"/>
    <n v="0"/>
    <n v="0"/>
    <n v="0"/>
    <n v="0"/>
    <n v="19775.521846053056"/>
    <n v="0"/>
    <n v="0"/>
    <n v="0"/>
    <n v="19775.521846053056"/>
    <n v="0"/>
    <n v="0.36386960196737617"/>
    <n v="0"/>
    <n v="0.36386960196737617"/>
    <n v="0"/>
    <n v="8206.8415661120198"/>
    <n v="0"/>
    <n v="8206.8415661120198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310893.7909098948"/>
    <n v="0"/>
    <n v="0"/>
    <n v="0"/>
    <n v="0"/>
    <n v="0"/>
    <n v="0"/>
    <n v="0"/>
    <n v="310893.7909098948"/>
    <n v="0"/>
    <n v="0"/>
    <n v="0"/>
    <n v="0"/>
    <n v="0"/>
    <n v="0"/>
    <n v="0"/>
    <n v="0"/>
    <n v="0"/>
    <n v="0"/>
    <x v="0"/>
  </r>
  <r>
    <x v="35"/>
    <s v=""/>
    <n v="0"/>
    <x v="2"/>
    <s v="Vestdanmark"/>
    <n v="69105.833019649028"/>
    <n v="0"/>
    <n v="0"/>
    <n v="0"/>
    <n v="0"/>
    <n v="0"/>
    <n v="0"/>
    <n v="69105.833019649028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34552.916509824514"/>
    <n v="21409.910609126229"/>
    <n v="0"/>
    <n v="0"/>
    <n v="0"/>
    <n v="0"/>
    <n v="0"/>
    <n v="0"/>
    <n v="13143.005900698285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22113.866566287688"/>
    <n v="0"/>
    <n v="0"/>
    <n v="0"/>
    <n v="0"/>
    <n v="0"/>
    <n v="22113.866566287688"/>
    <n v="0"/>
    <n v="0"/>
    <n v="0"/>
    <n v="22113.866566287688"/>
    <n v="0"/>
    <n v="0.77398532982006907"/>
    <n v="0"/>
    <n v="0.77398532982006907"/>
    <n v="0"/>
    <n v="20123.618575321798"/>
    <n v="0"/>
    <n v="20123.618575321798"/>
    <x v="0"/>
  </r>
  <r>
    <x v="38"/>
    <s v="Græs og urter"/>
    <n v="1"/>
    <x v="2"/>
    <s v="Vestdanmark"/>
    <n v="56749.419521612363"/>
    <n v="84116.7617655629"/>
    <n v="0"/>
    <n v="0"/>
    <n v="0"/>
    <n v="0"/>
    <n v="0"/>
    <n v="0"/>
    <n v="-27367.342243950538"/>
    <n v="0"/>
    <n v="0"/>
    <n v="0"/>
    <n v="0"/>
    <n v="0"/>
    <n v="0"/>
    <n v="0"/>
    <n v="0"/>
    <n v="0"/>
    <n v="0"/>
    <x v="0"/>
  </r>
  <r>
    <x v="39"/>
    <s v=""/>
    <n v="0"/>
    <x v="2"/>
    <s v="Vestdanmark"/>
    <n v="7097.640580688706"/>
    <n v="0"/>
    <n v="0"/>
    <n v="0"/>
    <n v="0"/>
    <n v="0"/>
    <n v="0"/>
    <n v="0"/>
    <n v="7097.640580688706"/>
    <n v="0"/>
    <n v="0"/>
    <n v="0"/>
    <n v="0"/>
    <n v="0"/>
    <n v="0"/>
    <n v="0"/>
    <n v="0"/>
    <n v="0"/>
    <n v="0"/>
    <x v="0"/>
  </r>
  <r>
    <x v="40"/>
    <s v=""/>
    <n v="0"/>
    <x v="2"/>
    <s v="Vestdanmark"/>
    <n v="5199.2984687245571"/>
    <n v="3941.5735012617333"/>
    <n v="0"/>
    <n v="0"/>
    <n v="0"/>
    <n v="0"/>
    <n v="0"/>
    <n v="0"/>
    <n v="1257.724967462823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09618.6163458391"/>
    <n v="0"/>
    <n v="0"/>
    <n v="0"/>
    <n v="1520643.2255533286"/>
    <n v="0"/>
    <n v="0"/>
    <n v="0"/>
    <n v="2488975.3907925105"/>
    <n v="2488975.3907925105"/>
    <n v="1520643.2255533286"/>
    <n v="1.2420236097593709"/>
    <n v="2.0008397857427376"/>
    <n v="0.75881617598336659"/>
    <n v="1.2420236097593711"/>
    <n v="149338.52344755063"/>
    <n v="240577.11698075035"/>
    <n v="91238.593533199717"/>
    <n v="149338.52344755063"/>
    <x v="0"/>
  </r>
  <r>
    <x v="42"/>
    <s v="Husdyrgødning"/>
    <n v="1"/>
    <x v="2"/>
    <s v="Vestdanmark"/>
    <n v="117987.52213609075"/>
    <n v="0"/>
    <n v="0"/>
    <n v="0"/>
    <n v="62533.3867321281"/>
    <n v="55454.135403962639"/>
    <n v="0"/>
    <n v="0"/>
    <n v="0"/>
    <n v="0"/>
    <n v="62533.3867321281"/>
    <n v="0"/>
    <n v="2.693938300420079E-2"/>
    <n v="2.693938300420079E-2"/>
    <n v="0"/>
    <n v="0"/>
    <n v="3126.6693366064051"/>
    <n v="3126.6693366064051"/>
    <n v="0"/>
    <x v="0"/>
  </r>
  <r>
    <x v="43"/>
    <s v=""/>
    <n v="0"/>
    <x v="2"/>
    <s v="Vestdanmark"/>
    <n v="55924.401260733604"/>
    <n v="0"/>
    <n v="0"/>
    <n v="0"/>
    <n v="0"/>
    <n v="0"/>
    <n v="0"/>
    <n v="0"/>
    <n v="55924.401260733604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972.68074687720616"/>
    <n v="0"/>
    <n v="0"/>
    <n v="0"/>
    <n v="0"/>
    <n v="0"/>
    <n v="0"/>
    <n v="12527.319253122794"/>
    <n v="12527.319253122794"/>
    <n v="0"/>
    <n v="1.1243269029677708E-2"/>
    <n v="1.1243269029677708E-2"/>
    <n v="0"/>
    <n v="1.1243269029677708E-2"/>
    <n v="1879.0978879684189"/>
    <n v="1879.0978879684189"/>
    <n v="0"/>
    <n v="1879.0978879684189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82793.5895249988"/>
    <n v="0"/>
    <n v="0"/>
    <n v="0"/>
    <n v="0"/>
    <n v="0"/>
    <n v="2082793.5895249988"/>
    <n v="0"/>
    <n v="0"/>
    <n v="0"/>
    <n v="2082793.5895249988"/>
    <n v="0"/>
    <n v="30.187112395873719"/>
    <n v="0"/>
    <n v="30.187112395873719"/>
    <n v="0"/>
    <n v="1030114.9961525723"/>
    <n v="0"/>
    <n v="1030114.9961525723"/>
    <x v="0"/>
  </r>
  <r>
    <x v="47"/>
    <s v=""/>
    <n v="0"/>
    <x v="2"/>
    <s v="Vestdanmark"/>
    <n v="589248.78125222854"/>
    <n v="0"/>
    <n v="0"/>
    <n v="0"/>
    <n v="0"/>
    <n v="0"/>
    <n v="0"/>
    <n v="0"/>
    <n v="589248.78125222854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6839.3191670250981"/>
    <n v="0"/>
    <n v="0"/>
    <n v="28209.340124628539"/>
    <n v="0"/>
    <n v="0"/>
    <n v="0"/>
    <n v="0"/>
    <n v="-21370.020957603439"/>
    <n v="0"/>
    <n v="0"/>
    <n v="0"/>
    <n v="0"/>
    <n v="0"/>
    <n v="0"/>
    <n v="0"/>
    <n v="0"/>
    <n v="0"/>
    <n v="0"/>
    <x v="0"/>
  </r>
  <r>
    <x v="1"/>
    <s v=""/>
    <n v="0"/>
    <x v="1"/>
    <s v="Østdanmark"/>
    <n v="21216.247725388857"/>
    <n v="3958.3083768700485"/>
    <n v="0"/>
    <n v="94031.1337487618"/>
    <n v="0"/>
    <n v="0"/>
    <n v="0"/>
    <n v="0"/>
    <n v="-76773.194400242995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201718.39486572551"/>
    <n v="0"/>
    <n v="0"/>
    <n v="0"/>
    <n v="0"/>
    <n v="0"/>
    <n v="201718.39486572551"/>
    <n v="0"/>
    <n v="0"/>
    <n v="0"/>
    <n v="201718.39486572551"/>
    <n v="0"/>
    <n v="3.6011212682192886"/>
    <n v="0"/>
    <n v="3.6011212682192886"/>
    <n v="0"/>
    <n v="56481.150562403149"/>
    <n v="0"/>
    <n v="56481.150562403149"/>
    <x v="0"/>
  </r>
  <r>
    <x v="3"/>
    <s v=""/>
    <n v="1"/>
    <x v="1"/>
    <s v="Østdanmark"/>
    <n v="34271871.713504404"/>
    <n v="0"/>
    <n v="0"/>
    <n v="0"/>
    <n v="0"/>
    <n v="0"/>
    <n v="34271871.713504404"/>
    <n v="0"/>
    <n v="0"/>
    <n v="0"/>
    <n v="34271871.713504404"/>
    <n v="0"/>
    <n v="0"/>
    <n v="0"/>
    <n v="0"/>
    <n v="0"/>
    <n v="0"/>
    <n v="0"/>
    <n v="0"/>
    <x v="0"/>
  </r>
  <r>
    <x v="4"/>
    <s v=""/>
    <n v="0"/>
    <x v="1"/>
    <s v="Østdanmark"/>
    <n v="1899204.5627186713"/>
    <n v="0"/>
    <n v="0"/>
    <n v="0"/>
    <n v="0"/>
    <n v="1372715.9166472442"/>
    <n v="0"/>
    <n v="0"/>
    <n v="526488.6460714270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232990.59266414485"/>
    <n v="0"/>
    <n v="0"/>
    <n v="0"/>
    <n v="23299.059266414486"/>
    <n v="0"/>
    <n v="0"/>
    <n v="0"/>
    <n v="209691.53339773035"/>
    <n v="209691.53339773035"/>
    <n v="23299.059266414486"/>
    <n v="0.11911025908327566"/>
    <n v="0.13234473231475075"/>
    <n v="1.3234473231475075E-2"/>
    <n v="0.11911025908327567"/>
    <n v="8967.1203104174983"/>
    <n v="9963.4670115749996"/>
    <n v="996.34670115749998"/>
    <n v="8967.1203104175001"/>
    <x v="0"/>
  </r>
  <r>
    <x v="6"/>
    <s v="Husdyrgødning"/>
    <n v="1"/>
    <x v="1"/>
    <s v="Østdanmark"/>
    <n v="265728.73054226203"/>
    <n v="0"/>
    <n v="0"/>
    <n v="0"/>
    <n v="132864.36527113101"/>
    <n v="50298.652566928169"/>
    <n v="0"/>
    <n v="0"/>
    <n v="82565.712704202859"/>
    <n v="82565.712704202859"/>
    <n v="132864.36527113101"/>
    <n v="0.17784654516485296"/>
    <n v="0.46403638795886915"/>
    <n v="0.28618984279401621"/>
    <n v="0.17784654516485293"/>
    <n v="24769.713811260855"/>
    <n v="64629.02339260016"/>
    <n v="39859.309581339301"/>
    <n v="24769.713811260859"/>
    <x v="0"/>
  </r>
  <r>
    <x v="7"/>
    <s v=""/>
    <n v="0"/>
    <x v="1"/>
    <s v="Østdanmark"/>
    <n v="164104.16254358823"/>
    <n v="0"/>
    <n v="0"/>
    <n v="0"/>
    <n v="0"/>
    <n v="0"/>
    <n v="0"/>
    <n v="0"/>
    <n v="164104.16254358823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454.56611706055151"/>
    <n v="0"/>
    <n v="0"/>
    <n v="0"/>
    <n v="227.28305853027575"/>
    <n v="172.0857443157802"/>
    <n v="0"/>
    <n v="0"/>
    <n v="55.197314214495577"/>
    <n v="55.197314214495577"/>
    <n v="227.28305853027575"/>
    <n v="2.5958744901935126E-5"/>
    <n v="1.3284769449813851E-4"/>
    <n v="1.0688894959620338E-4"/>
    <n v="2.5958744901935122E-5"/>
    <n v="3.4774307955132215"/>
    <n v="17.796263482920594"/>
    <n v="14.318832687407372"/>
    <n v="3.4774307955132215"/>
    <x v="0"/>
  </r>
  <r>
    <x v="9"/>
    <s v=""/>
    <n v="0"/>
    <x v="1"/>
    <s v="Østdanmark"/>
    <n v="4570.0262063523087"/>
    <n v="0"/>
    <n v="0"/>
    <n v="15280.059234173792"/>
    <n v="0"/>
    <n v="0"/>
    <n v="0"/>
    <n v="0"/>
    <n v="-10710.033027821482"/>
    <n v="0"/>
    <n v="0"/>
    <n v="0"/>
    <n v="0"/>
    <n v="0"/>
    <n v="0"/>
    <n v="0"/>
    <n v="0"/>
    <n v="0"/>
    <n v="0"/>
    <x v="0"/>
  </r>
  <r>
    <x v="10"/>
    <s v=""/>
    <n v="0"/>
    <x v="1"/>
    <s v="Østdanmark"/>
    <n v="459859.53361816495"/>
    <n v="0"/>
    <n v="0"/>
    <n v="0"/>
    <n v="0"/>
    <n v="0"/>
    <n v="0"/>
    <n v="0"/>
    <n v="459859.53361816495"/>
    <n v="0"/>
    <n v="0"/>
    <n v="0"/>
    <n v="0"/>
    <n v="0"/>
    <n v="0"/>
    <n v="0"/>
    <n v="0"/>
    <n v="0"/>
    <n v="0"/>
    <x v="0"/>
  </r>
  <r>
    <x v="11"/>
    <s v=""/>
    <n v="0"/>
    <x v="1"/>
    <s v="Østdanmark"/>
    <n v="155683.78957542713"/>
    <n v="0"/>
    <n v="0"/>
    <n v="223323.94265330929"/>
    <n v="0"/>
    <n v="0"/>
    <n v="0"/>
    <n v="0"/>
    <n v="-67640.153077882162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3"/>
    <s v="Græs og urter"/>
    <n v="1"/>
    <x v="1"/>
    <s v="Østdanmark"/>
    <n v="1666396.9094630885"/>
    <n v="751034.03800585715"/>
    <n v="0"/>
    <n v="0"/>
    <n v="0"/>
    <n v="0"/>
    <n v="0"/>
    <n v="476802.49130033312"/>
    <n v="438560.38015689817"/>
    <n v="438560.38015689817"/>
    <n v="0"/>
    <n v="0.80689627944117304"/>
    <n v="0.80689627944117304"/>
    <n v="0"/>
    <n v="0.80689627944117304"/>
    <n v="122796.9064439315"/>
    <n v="122796.9064439315"/>
    <n v="0"/>
    <n v="122796.9064439315"/>
    <x v="0"/>
  </r>
  <r>
    <x v="14"/>
    <s v=""/>
    <n v="0"/>
    <x v="1"/>
    <s v="Østdanmark"/>
    <n v="79707.736092599996"/>
    <n v="79707.736092599996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76027.405090946413"/>
    <n v="0"/>
    <n v="0"/>
    <n v="233902.44520004498"/>
    <n v="0"/>
    <n v="0"/>
    <n v="0"/>
    <n v="0"/>
    <n v="-157875.04010909857"/>
    <n v="0"/>
    <n v="0"/>
    <n v="0"/>
    <n v="0"/>
    <n v="0"/>
    <n v="0"/>
    <n v="0"/>
    <n v="0"/>
    <n v="0"/>
    <n v="0"/>
    <x v="0"/>
  </r>
  <r>
    <x v="16"/>
    <s v="Halm og strå"/>
    <n v="1"/>
    <x v="1"/>
    <s v="Østdanmark"/>
    <n v="720937.14353414183"/>
    <n v="47444.724017206274"/>
    <n v="49668.819226303865"/>
    <n v="0"/>
    <n v="0"/>
    <n v="0"/>
    <n v="623823.60029063176"/>
    <n v="0"/>
    <n v="0"/>
    <n v="0"/>
    <n v="623823.60029063176"/>
    <n v="0"/>
    <n v="6.4477199223855344"/>
    <n v="0"/>
    <n v="6.4477199223855344"/>
    <n v="0"/>
    <n v="530250.06024703698"/>
    <n v="0"/>
    <n v="530250.06024703698"/>
    <x v="0"/>
  </r>
  <r>
    <x v="17"/>
    <s v="Bionedbrydeligt affald"/>
    <n v="1"/>
    <x v="1"/>
    <s v="Østdanmark"/>
    <n v="456074.89013160887"/>
    <n v="0"/>
    <n v="0"/>
    <n v="0"/>
    <n v="0"/>
    <n v="0"/>
    <n v="456074.89013160887"/>
    <n v="0"/>
    <n v="0"/>
    <n v="0"/>
    <n v="456074.89013160887"/>
    <n v="0"/>
    <n v="8.1419495125715642"/>
    <n v="0"/>
    <n v="8.1419495125715642"/>
    <n v="0"/>
    <n v="136822.46703948267"/>
    <n v="0"/>
    <n v="136822.46703948267"/>
    <x v="0"/>
  </r>
  <r>
    <x v="18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9"/>
    <s v="Bionedbrydeligt affald"/>
    <n v="1"/>
    <x v="1"/>
    <s v="Østdanmark"/>
    <n v="182710.20154485604"/>
    <n v="0"/>
    <n v="0"/>
    <n v="0"/>
    <n v="0"/>
    <n v="0"/>
    <n v="0"/>
    <n v="0"/>
    <n v="182710.20154485604"/>
    <n v="182710.20154485604"/>
    <n v="0"/>
    <n v="0.79170705562006216"/>
    <n v="0.79170705562006216"/>
    <n v="0"/>
    <n v="0.79170705562006216"/>
    <n v="76738.28464883953"/>
    <n v="76738.28464883953"/>
    <n v="0"/>
    <n v="76738.28464883953"/>
    <x v="0"/>
  </r>
  <r>
    <x v="20"/>
    <s v=""/>
    <n v="0"/>
    <x v="1"/>
    <s v="Østdanmark"/>
    <n v="114135.60173881784"/>
    <n v="0"/>
    <n v="0"/>
    <n v="0"/>
    <n v="0"/>
    <n v="0"/>
    <n v="0"/>
    <n v="0"/>
    <n v="114135.60173881784"/>
    <n v="0"/>
    <n v="0"/>
    <n v="0"/>
    <n v="0"/>
    <n v="0"/>
    <n v="0"/>
    <n v="0"/>
    <n v="0"/>
    <n v="0"/>
    <n v="0"/>
    <x v="0"/>
  </r>
  <r>
    <x v="21"/>
    <s v=""/>
    <n v="0"/>
    <x v="1"/>
    <s v="Østdanmark"/>
    <n v="90433.089420305812"/>
    <n v="0"/>
    <n v="0"/>
    <n v="106960.41463921656"/>
    <n v="0"/>
    <n v="0"/>
    <n v="0"/>
    <n v="0"/>
    <n v="-16527.325218910744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880453.021446147"/>
    <n v="360810.80385275168"/>
    <n v="0"/>
    <n v="256234.83946537593"/>
    <n v="0"/>
    <n v="0"/>
    <n v="0"/>
    <n v="0"/>
    <n v="1263407.3781280194"/>
    <n v="195159.40515559562"/>
    <n v="0"/>
    <n v="0.66839364034119331"/>
    <n v="0.66839364034119331"/>
    <n v="0"/>
    <n v="0.66839364034119331"/>
    <n v="60499.415598234642"/>
    <n v="60499.415598234642"/>
    <n v="0"/>
    <n v="60499.415598234642"/>
    <x v="0"/>
  </r>
  <r>
    <x v="23"/>
    <s v=""/>
    <n v="0"/>
    <x v="1"/>
    <s v="Østdanmark"/>
    <n v="0"/>
    <n v="0"/>
    <n v="0"/>
    <n v="0"/>
    <n v="0"/>
    <n v="350478.15596621751"/>
    <n v="0"/>
    <n v="0"/>
    <n v="-350478.15596621751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380945.09176051564"/>
    <n v="0"/>
    <n v="0"/>
    <n v="0"/>
    <n v="289518.26973799191"/>
    <n v="60570.269589921976"/>
    <n v="0"/>
    <n v="0"/>
    <n v="30856.552432601748"/>
    <n v="30856.552432601748"/>
    <n v="289518.26973799191"/>
    <n v="1.561927827585868E-2"/>
    <n v="0.16217053123453282"/>
    <n v="0.14655125295867413"/>
    <n v="1.5619278275858683E-2"/>
    <n v="2345.0979848777329"/>
    <n v="24348.486484965117"/>
    <n v="22003.388500087385"/>
    <n v="2345.0979848777315"/>
    <x v="0"/>
  </r>
  <r>
    <x v="25"/>
    <s v=""/>
    <n v="0"/>
    <x v="1"/>
    <s v="Østdanmark"/>
    <n v="47841.213402714107"/>
    <n v="93020.246856446116"/>
    <n v="0"/>
    <n v="0"/>
    <n v="0"/>
    <n v="0"/>
    <n v="0"/>
    <n v="0"/>
    <n v="-45179.033453732009"/>
    <n v="0"/>
    <n v="0"/>
    <n v="0"/>
    <n v="0"/>
    <n v="0"/>
    <n v="0"/>
    <n v="0"/>
    <n v="0"/>
    <n v="0"/>
    <n v="0"/>
    <x v="1"/>
  </r>
  <r>
    <x v="26"/>
    <s v="Græs og urter"/>
    <n v="1"/>
    <x v="1"/>
    <s v="Østdanmark"/>
    <n v="324811.4917880242"/>
    <n v="347176.63055464375"/>
    <n v="0"/>
    <n v="0"/>
    <n v="0"/>
    <n v="0"/>
    <n v="0"/>
    <n v="0"/>
    <n v="-22365.138766619551"/>
    <n v="0"/>
    <n v="0"/>
    <n v="0"/>
    <n v="0"/>
    <n v="0"/>
    <n v="0"/>
    <n v="0"/>
    <n v="0"/>
    <n v="0"/>
    <n v="0"/>
    <x v="0"/>
  </r>
  <r>
    <x v="27"/>
    <s v=""/>
    <n v="0"/>
    <x v="1"/>
    <s v="Østdanmark"/>
    <n v="92308.712787341981"/>
    <n v="0"/>
    <n v="0"/>
    <n v="409035.43180711387"/>
    <n v="0"/>
    <n v="0"/>
    <n v="0"/>
    <n v="0"/>
    <n v="-316726.719019771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2676.8401917201513"/>
    <n v="0"/>
    <n v="0"/>
    <n v="25987.85458981404"/>
    <n v="0"/>
    <n v="0"/>
    <n v="0"/>
    <n v="0"/>
    <n v="-23311.014398093888"/>
    <n v="0"/>
    <n v="0"/>
    <n v="0"/>
    <n v="0"/>
    <n v="0"/>
    <n v="0"/>
    <n v="0"/>
    <n v="0"/>
    <n v="0"/>
    <n v="0"/>
    <x v="1"/>
  </r>
  <r>
    <x v="30"/>
    <s v=""/>
    <n v="0"/>
    <x v="1"/>
    <s v="Østdanmark"/>
    <n v="309933.53039763391"/>
    <n v="0"/>
    <n v="0"/>
    <n v="0"/>
    <n v="0"/>
    <n v="0"/>
    <n v="0"/>
    <n v="0"/>
    <n v="309933.53039763391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26464.763790340134"/>
    <n v="0"/>
    <n v="0"/>
    <n v="0"/>
    <n v="0"/>
    <n v="0"/>
    <n v="26464.763790340134"/>
    <n v="0"/>
    <n v="0"/>
    <n v="0"/>
    <n v="26464.763790340134"/>
    <n v="0"/>
    <n v="0.48695165374225835"/>
    <n v="0"/>
    <n v="0.48695165374225835"/>
    <n v="0"/>
    <n v="10982.876972991156"/>
    <n v="0"/>
    <n v="10982.876972991156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143743.51404108317"/>
    <n v="0"/>
    <n v="0"/>
    <n v="0"/>
    <n v="0"/>
    <n v="0"/>
    <n v="0"/>
    <n v="0"/>
    <n v="143743.51404108317"/>
    <n v="0"/>
    <n v="0"/>
    <n v="0"/>
    <n v="0"/>
    <n v="0"/>
    <n v="0"/>
    <n v="0"/>
    <n v="0"/>
    <n v="0"/>
    <n v="0"/>
    <x v="0"/>
  </r>
  <r>
    <x v="35"/>
    <s v=""/>
    <n v="0"/>
    <x v="1"/>
    <s v="Østdanmark"/>
    <n v="151456.7046357762"/>
    <n v="0"/>
    <n v="0"/>
    <n v="0"/>
    <n v="0"/>
    <n v="0"/>
    <n v="0"/>
    <n v="151456.7046357762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75728.352317888101"/>
    <n v="13139.384750999187"/>
    <n v="0"/>
    <n v="0"/>
    <n v="0"/>
    <n v="0"/>
    <n v="0"/>
    <n v="0"/>
    <n v="62588.96756688891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8466.145483448388"/>
    <n v="0"/>
    <n v="0"/>
    <n v="0"/>
    <n v="0"/>
    <n v="0"/>
    <n v="48466.145483448388"/>
    <n v="0"/>
    <n v="0"/>
    <n v="0"/>
    <n v="48466.145483448388"/>
    <n v="0"/>
    <n v="1.6963150919206935"/>
    <n v="0"/>
    <n v="1.6963150919206935"/>
    <n v="0"/>
    <n v="44104.192389938034"/>
    <n v="0"/>
    <n v="44104.192389938034"/>
    <x v="0"/>
  </r>
  <r>
    <x v="38"/>
    <s v="Græs og urter"/>
    <n v="1"/>
    <x v="1"/>
    <s v="Østdanmark"/>
    <n v="426968.23377582035"/>
    <n v="51622.938415013545"/>
    <n v="0"/>
    <n v="0"/>
    <n v="0"/>
    <n v="0"/>
    <n v="0"/>
    <n v="0"/>
    <n v="375345.29536080681"/>
    <n v="199263.33288089724"/>
    <n v="0"/>
    <n v="0.5408086559720704"/>
    <n v="0.5408086559720704"/>
    <n v="0"/>
    <n v="0.5408086559720704"/>
    <n v="39852.66657617945"/>
    <n v="39852.66657617945"/>
    <n v="0"/>
    <n v="39852.66657617945"/>
    <x v="0"/>
  </r>
  <r>
    <x v="39"/>
    <s v=""/>
    <n v="0"/>
    <x v="1"/>
    <s v="Østdanmark"/>
    <n v="8344.0617622018926"/>
    <n v="0"/>
    <n v="0"/>
    <n v="0"/>
    <n v="0"/>
    <n v="0"/>
    <n v="0"/>
    <n v="0"/>
    <n v="8344.0617622018926"/>
    <n v="0"/>
    <n v="0"/>
    <n v="0"/>
    <n v="0"/>
    <n v="0"/>
    <n v="0"/>
    <n v="0"/>
    <n v="0"/>
    <n v="0"/>
    <n v="0"/>
    <x v="0"/>
  </r>
  <r>
    <x v="40"/>
    <s v=""/>
    <n v="0"/>
    <x v="1"/>
    <s v="Østdanmark"/>
    <n v="6842.7362268510151"/>
    <n v="2418.9662303094738"/>
    <n v="0"/>
    <n v="0"/>
    <n v="0"/>
    <n v="0"/>
    <n v="0"/>
    <n v="0"/>
    <n v="4423.7699965415413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38993.6511468254"/>
    <n v="0"/>
    <n v="0"/>
    <n v="0"/>
    <n v="1266309.4826732657"/>
    <n v="0"/>
    <n v="0"/>
    <n v="0"/>
    <n v="2072684.1684735597"/>
    <n v="2072684.1684735597"/>
    <n v="1266309.4826732657"/>
    <n v="1.0342901269099911"/>
    <n v="1.6661912218587775"/>
    <n v="0.63190109494878643"/>
    <n v="1.0342901269099911"/>
    <n v="124361.05010841358"/>
    <n v="200339.61906880952"/>
    <n v="75978.568960395947"/>
    <n v="124361.05010841358"/>
    <x v="0"/>
  </r>
  <r>
    <x v="42"/>
    <s v="Husdyrgødning"/>
    <n v="1"/>
    <x v="1"/>
    <s v="Østdanmark"/>
    <n v="667370.23542098131"/>
    <n v="0"/>
    <n v="0"/>
    <n v="0"/>
    <n v="353706.22477312014"/>
    <n v="313664.01064786117"/>
    <n v="0"/>
    <n v="0"/>
    <n v="0"/>
    <n v="0"/>
    <n v="353706.22477312014"/>
    <n v="0"/>
    <n v="0.15237664163226017"/>
    <n v="0.15237664163226017"/>
    <n v="0"/>
    <n v="0"/>
    <n v="17685.311238656006"/>
    <n v="17685.311238656006"/>
    <n v="0"/>
    <x v="0"/>
  </r>
  <r>
    <x v="43"/>
    <s v=""/>
    <n v="0"/>
    <x v="1"/>
    <s v="Østdanmark"/>
    <n v="74804.649769203446"/>
    <n v="0"/>
    <n v="0"/>
    <n v="52763.219924773963"/>
    <n v="0"/>
    <n v="0"/>
    <n v="0"/>
    <n v="0"/>
    <n v="22041.42984442948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596.93974470220587"/>
    <n v="0"/>
    <n v="0"/>
    <n v="0"/>
    <n v="0"/>
    <n v="0"/>
    <n v="0"/>
    <n v="3903.0602552977944"/>
    <n v="3903.0602552977944"/>
    <n v="0"/>
    <n v="3.5029965791297706E-3"/>
    <n v="3.5029965791297706E-3"/>
    <n v="0"/>
    <n v="3.5029965791297706E-3"/>
    <n v="585.45903829466909"/>
    <n v="585.45903829466909"/>
    <n v="0"/>
    <n v="585.45903829466909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840.73625530320862"/>
    <n v="0"/>
    <n v="0"/>
    <n v="29532.002020101954"/>
    <n v="0"/>
    <n v="0"/>
    <n v="0"/>
    <n v="0"/>
    <n v="-28691.265764798747"/>
    <n v="0"/>
    <n v="0"/>
    <n v="0"/>
    <n v="0"/>
    <n v="0"/>
    <n v="0"/>
    <n v="0"/>
    <n v="0"/>
    <n v="0"/>
    <n v="0"/>
    <x v="1"/>
  </r>
  <r>
    <x v="1"/>
    <s v=""/>
    <n v="0"/>
    <x v="2"/>
    <s v="Østdanmark"/>
    <n v="12303.077662840105"/>
    <n v="791.66167537400975"/>
    <n v="0"/>
    <n v="196880.01346734638"/>
    <n v="0"/>
    <n v="0"/>
    <n v="0"/>
    <n v="0"/>
    <n v="-185368.59747988029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256735.432171672"/>
    <n v="0"/>
    <n v="0"/>
    <n v="0"/>
    <n v="0"/>
    <n v="0"/>
    <n v="256735.432171672"/>
    <n v="0"/>
    <n v="0"/>
    <n v="0"/>
    <n v="256735.432171672"/>
    <n v="0"/>
    <n v="4.5832975505991831"/>
    <n v="0"/>
    <n v="4.5832975505991831"/>
    <n v="0"/>
    <n v="71885.921008068166"/>
    <n v="0"/>
    <n v="71885.921008068166"/>
    <x v="0"/>
  </r>
  <r>
    <x v="3"/>
    <s v=""/>
    <n v="1"/>
    <x v="2"/>
    <s v="Østdanmark"/>
    <n v="21554105.414743334"/>
    <n v="0"/>
    <n v="0"/>
    <n v="0"/>
    <n v="0"/>
    <n v="0"/>
    <n v="21554105.414743334"/>
    <n v="0"/>
    <n v="0"/>
    <n v="0"/>
    <n v="21554105.414743334"/>
    <n v="0"/>
    <n v="0"/>
    <n v="0"/>
    <n v="0"/>
    <n v="0"/>
    <n v="0"/>
    <n v="0"/>
    <n v="0"/>
    <x v="0"/>
  </r>
  <r>
    <x v="4"/>
    <s v=""/>
    <n v="0"/>
    <x v="2"/>
    <s v="Østdanmark"/>
    <n v="1307700.1887853292"/>
    <n v="0"/>
    <n v="0"/>
    <n v="0"/>
    <n v="0"/>
    <n v="255996.43484911678"/>
    <n v="0"/>
    <n v="0"/>
    <n v="1051703.7539362125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46598.118532828979"/>
    <n v="0"/>
    <n v="0"/>
    <n v="0"/>
    <n v="9319.623706565797"/>
    <n v="0"/>
    <n v="0"/>
    <n v="0"/>
    <n v="37278.494826263181"/>
    <n v="37278.494826263181"/>
    <n v="9319.623706565797"/>
    <n v="2.1175157170360122E-2"/>
    <n v="2.6468946462950154E-2"/>
    <n v="5.2937892925900313E-3"/>
    <n v="2.1175157170360122E-2"/>
    <n v="1594.1547218520002"/>
    <n v="1992.6934023150004"/>
    <n v="398.53868046300011"/>
    <n v="1594.1547218520004"/>
    <x v="0"/>
  </r>
  <r>
    <x v="6"/>
    <s v="Husdyrgødning"/>
    <n v="1"/>
    <x v="2"/>
    <s v="Østdanmark"/>
    <n v="77010.667859618014"/>
    <n v="0"/>
    <n v="0"/>
    <n v="0"/>
    <n v="38449.746444112672"/>
    <n v="14555.975439556938"/>
    <n v="0"/>
    <n v="0"/>
    <n v="24004.945975948402"/>
    <n v="24004.945975948402"/>
    <n v="38449.746444112672"/>
    <n v="5.1706653632192859E-2"/>
    <n v="0.13452740747281156"/>
    <n v="8.2820753840618697E-2"/>
    <n v="5.1706653632192859E-2"/>
    <n v="7201.4837927845201"/>
    <n v="18736.407726018322"/>
    <n v="11534.923933233802"/>
    <n v="7201.4837927845201"/>
    <x v="0"/>
  </r>
  <r>
    <x v="7"/>
    <s v=""/>
    <n v="0"/>
    <x v="2"/>
    <s v="Østdanmark"/>
    <n v="32820.832508717656"/>
    <n v="0"/>
    <n v="0"/>
    <n v="0"/>
    <n v="0"/>
    <n v="0"/>
    <n v="0"/>
    <n v="0"/>
    <n v="32820.832508717656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121.27767309664802"/>
    <n v="0"/>
    <n v="0"/>
    <n v="0"/>
    <n v="59.766906840866696"/>
    <n v="45.252086608084781"/>
    <n v="0"/>
    <n v="0"/>
    <n v="16.258679647696539"/>
    <n v="16.258679647696539"/>
    <n v="59.766906840866696"/>
    <n v="7.6462944515152055E-6"/>
    <n v="3.5754073069706404E-5"/>
    <n v="2.81077786181912E-5"/>
    <n v="7.6462944515152038E-6"/>
    <n v="1.0242968178048819"/>
    <n v="4.7896119487794842"/>
    <n v="3.765315130974602"/>
    <n v="1.0242968178048821"/>
    <x v="0"/>
  </r>
  <r>
    <x v="9"/>
    <s v=""/>
    <n v="0"/>
    <x v="2"/>
    <s v="Østdanmark"/>
    <n v="77.841782792402455"/>
    <n v="0"/>
    <n v="0"/>
    <n v="0"/>
    <n v="0"/>
    <n v="0"/>
    <n v="0"/>
    <n v="0"/>
    <n v="77.841782792402455"/>
    <n v="0"/>
    <n v="0"/>
    <n v="0"/>
    <n v="0"/>
    <n v="0"/>
    <n v="0"/>
    <n v="0"/>
    <n v="0"/>
    <n v="0"/>
    <n v="0"/>
    <x v="0"/>
  </r>
  <r>
    <x v="10"/>
    <s v=""/>
    <n v="0"/>
    <x v="2"/>
    <s v="Østdanmark"/>
    <n v="266667.67985232966"/>
    <n v="0"/>
    <n v="0"/>
    <n v="0"/>
    <n v="0"/>
    <n v="0"/>
    <n v="0"/>
    <n v="0"/>
    <n v="266667.67985232966"/>
    <n v="0"/>
    <n v="0"/>
    <n v="0"/>
    <n v="0"/>
    <n v="0"/>
    <n v="0"/>
    <n v="0"/>
    <n v="0"/>
    <n v="0"/>
    <n v="0"/>
    <x v="0"/>
  </r>
  <r>
    <x v="11"/>
    <s v=""/>
    <n v="0"/>
    <x v="2"/>
    <s v="Østdanmark"/>
    <n v="90279.382989087491"/>
    <n v="0"/>
    <n v="0"/>
    <n v="233795.01599247381"/>
    <n v="0"/>
    <n v="0"/>
    <n v="0"/>
    <n v="0"/>
    <n v="-143515.63300338632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3"/>
    <s v="Græs og urter"/>
    <n v="1"/>
    <x v="2"/>
    <s v="Østdanmark"/>
    <n v="1213195.5563066429"/>
    <n v="150206.80760117146"/>
    <n v="0"/>
    <n v="0"/>
    <n v="0"/>
    <n v="0"/>
    <n v="0"/>
    <n v="95360.498260066641"/>
    <n v="967628.25044540479"/>
    <n v="451126.7667083547"/>
    <n v="0"/>
    <n v="0.83001685989753415"/>
    <n v="0.83001685989753415"/>
    <n v="0"/>
    <n v="0.83001685989753415"/>
    <n v="126315.49467833932"/>
    <n v="126315.49467833932"/>
    <n v="0"/>
    <n v="126315.49467833932"/>
    <x v="0"/>
  </r>
  <r>
    <x v="14"/>
    <s v=""/>
    <n v="0"/>
    <x v="2"/>
    <s v="Østdanmark"/>
    <n v="15941.547218520003"/>
    <n v="15941.54721852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44087.488110293329"/>
    <n v="0"/>
    <n v="0"/>
    <n v="244869.51675001203"/>
    <n v="0"/>
    <n v="0"/>
    <n v="0"/>
    <n v="0"/>
    <n v="-200782.02863971872"/>
    <n v="0"/>
    <n v="0"/>
    <n v="0"/>
    <n v="0"/>
    <n v="0"/>
    <n v="0"/>
    <n v="0"/>
    <n v="0"/>
    <n v="0"/>
    <n v="0"/>
    <x v="0"/>
  </r>
  <r>
    <x v="16"/>
    <s v="Halm og strå"/>
    <n v="1"/>
    <x v="2"/>
    <s v="Østdanmark"/>
    <n v="451761.84985706571"/>
    <n v="9488.9448034412562"/>
    <n v="9360.7198522107701"/>
    <n v="0"/>
    <n v="0"/>
    <n v="0"/>
    <n v="432905.92040787602"/>
    <n v="0"/>
    <n v="6.2647935376735404"/>
    <n v="6.2647935376735404"/>
    <n v="432905.92040787602"/>
    <n v="6.4751692760054187E-5"/>
    <n v="4.4744965080932815"/>
    <n v="0"/>
    <n v="4.4744965080932815"/>
    <n v="5.3250745070225092"/>
    <n v="367975.35742120165"/>
    <n v="0"/>
    <n v="367975.35742120165"/>
    <x v="0"/>
  </r>
  <r>
    <x v="17"/>
    <s v="Bionedbrydeligt affald"/>
    <n v="1"/>
    <x v="2"/>
    <s v="Østdanmark"/>
    <n v="457927.02496060182"/>
    <n v="0"/>
    <n v="0"/>
    <n v="0"/>
    <n v="0"/>
    <n v="0"/>
    <n v="457927.02496060182"/>
    <n v="0"/>
    <n v="0"/>
    <n v="0"/>
    <n v="457927.02496060182"/>
    <n v="0"/>
    <n v="8.1750142319727654"/>
    <n v="0"/>
    <n v="8.1750142319727654"/>
    <n v="0"/>
    <n v="137378.10748818054"/>
    <n v="0"/>
    <n v="137378.10748818054"/>
    <x v="0"/>
  </r>
  <r>
    <x v="18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9"/>
    <s v="Bionedbrydeligt affald"/>
    <n v="1"/>
    <x v="2"/>
    <s v="Østdanmark"/>
    <n v="168720.33202425789"/>
    <n v="0"/>
    <n v="0"/>
    <n v="0"/>
    <n v="0"/>
    <n v="0"/>
    <n v="0"/>
    <n v="0"/>
    <n v="168720.33202425789"/>
    <n v="168720.33202425789"/>
    <n v="0"/>
    <n v="0.73108713230427269"/>
    <n v="0.73108713230427269"/>
    <n v="0"/>
    <n v="0.73108713230427269"/>
    <n v="70862.539450188313"/>
    <n v="70862.539450188313"/>
    <n v="0"/>
    <n v="70862.539450188313"/>
    <x v="0"/>
  </r>
  <r>
    <x v="20"/>
    <s v=""/>
    <n v="0"/>
    <x v="2"/>
    <s v="Østdanmark"/>
    <n v="66186.028296006189"/>
    <n v="0"/>
    <n v="0"/>
    <n v="0"/>
    <n v="0"/>
    <n v="0"/>
    <n v="0"/>
    <n v="0"/>
    <n v="66186.028296006189"/>
    <n v="0"/>
    <n v="0"/>
    <n v="0"/>
    <n v="0"/>
    <n v="0"/>
    <n v="0"/>
    <n v="0"/>
    <n v="0"/>
    <n v="0"/>
    <n v="0"/>
    <x v="0"/>
  </r>
  <r>
    <x v="21"/>
    <s v=""/>
    <n v="0"/>
    <x v="2"/>
    <s v="Østdanmark"/>
    <n v="52441.192091529192"/>
    <n v="0"/>
    <n v="0"/>
    <n v="111975.50765955324"/>
    <n v="0"/>
    <n v="0"/>
    <n v="0"/>
    <n v="0"/>
    <n v="-59534.315568024052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205010.4251037105"/>
    <n v="72162.160770550341"/>
    <n v="0"/>
    <n v="268249.01834925939"/>
    <n v="0"/>
    <n v="0"/>
    <n v="0"/>
    <n v="0"/>
    <n v="864599.24598390074"/>
    <n v="192606.70069262292"/>
    <n v="0"/>
    <n v="0.65965098493413665"/>
    <n v="0.65965098493413665"/>
    <n v="0"/>
    <n v="0.65965098493413665"/>
    <n v="59708.077214713107"/>
    <n v="59708.077214713107"/>
    <n v="0"/>
    <n v="59708.077214713107"/>
    <x v="0"/>
  </r>
  <r>
    <x v="23"/>
    <s v=""/>
    <n v="0"/>
    <x v="2"/>
    <s v="Østdanmark"/>
    <n v="0"/>
    <n v="0"/>
    <n v="0"/>
    <n v="0"/>
    <n v="0"/>
    <n v="255797.41629795096"/>
    <n v="0"/>
    <n v="0"/>
    <n v="-255797.41629795096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57848.828619790736"/>
    <n v="0"/>
    <n v="0"/>
    <n v="0"/>
    <n v="41152.526310566187"/>
    <n v="8609.541688657926"/>
    <n v="0"/>
    <n v="0"/>
    <n v="8086.7606205666234"/>
    <n v="8086.7606205666234"/>
    <n v="41152.526310566187"/>
    <n v="4.0934373585246198E-3"/>
    <n v="2.4924434651670123E-2"/>
    <n v="2.0830997293145501E-2"/>
    <n v="4.0934373585246216E-3"/>
    <n v="614.59380716306339"/>
    <n v="3742.1858067660937"/>
    <n v="3127.5919996030302"/>
    <n v="614.5938071630635"/>
    <x v="0"/>
  </r>
  <r>
    <x v="25"/>
    <s v=""/>
    <n v="0"/>
    <x v="2"/>
    <s v="Østdanmark"/>
    <n v="6893.1595177805384"/>
    <n v="18604.049371289228"/>
    <n v="0"/>
    <n v="0"/>
    <n v="0"/>
    <n v="0"/>
    <n v="0"/>
    <n v="0"/>
    <n v="-11710.889853508688"/>
    <n v="0"/>
    <n v="0"/>
    <n v="0"/>
    <n v="0"/>
    <n v="0"/>
    <n v="0"/>
    <n v="0"/>
    <n v="0"/>
    <n v="0"/>
    <n v="0"/>
    <x v="1"/>
  </r>
  <r>
    <x v="26"/>
    <s v="Græs og urter"/>
    <n v="1"/>
    <x v="2"/>
    <s v="Østdanmark"/>
    <n v="235303.4925381059"/>
    <n v="69435.326110928756"/>
    <n v="0"/>
    <n v="0"/>
    <n v="0"/>
    <n v="0"/>
    <n v="0"/>
    <n v="0"/>
    <n v="165868.16642717714"/>
    <n v="165868.16642717714"/>
    <n v="0"/>
    <n v="0.59546671747356605"/>
    <n v="0.59546671747356605"/>
    <n v="0"/>
    <n v="0.59546671747356605"/>
    <n v="49760.449928153139"/>
    <n v="49760.449928153139"/>
    <n v="0"/>
    <n v="49760.449928153139"/>
    <x v="0"/>
  </r>
  <r>
    <x v="27"/>
    <s v=""/>
    <n v="0"/>
    <x v="2"/>
    <s v="Østdanmark"/>
    <n v="13300.220392989411"/>
    <n v="0"/>
    <n v="0"/>
    <n v="428214.02929147833"/>
    <n v="0"/>
    <n v="0"/>
    <n v="0"/>
    <n v="0"/>
    <n v="-414913.80889848893"/>
    <n v="0"/>
    <n v="0"/>
    <n v="0"/>
    <n v="0"/>
    <n v="0"/>
    <n v="0"/>
    <n v="0"/>
    <n v="0"/>
    <n v="0"/>
    <n v="0"/>
    <x v="1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235.07832093771063"/>
    <n v="0"/>
    <n v="0"/>
    <n v="0"/>
    <n v="0"/>
    <n v="0"/>
    <n v="0"/>
    <n v="0"/>
    <n v="235.07832093771063"/>
    <n v="0"/>
    <n v="0"/>
    <n v="0"/>
    <n v="0"/>
    <n v="0"/>
    <n v="0"/>
    <n v="0"/>
    <n v="0"/>
    <n v="0"/>
    <n v="0"/>
    <x v="0"/>
  </r>
  <r>
    <x v="30"/>
    <s v=""/>
    <n v="0"/>
    <x v="2"/>
    <s v="Østdanmark"/>
    <n v="179727.17627336323"/>
    <n v="0"/>
    <n v="0"/>
    <n v="0"/>
    <n v="0"/>
    <n v="0"/>
    <n v="0"/>
    <n v="0"/>
    <n v="179727.17627336323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15346.636618106591"/>
    <n v="0"/>
    <n v="0"/>
    <n v="0"/>
    <n v="0"/>
    <n v="0"/>
    <n v="15346.636618106591"/>
    <n v="0"/>
    <n v="0"/>
    <n v="0"/>
    <n v="15346.636618106591"/>
    <n v="0"/>
    <n v="0.28237811377316124"/>
    <n v="0"/>
    <n v="0.28237811377316124"/>
    <n v="0"/>
    <n v="6368.8541965142358"/>
    <n v="0"/>
    <n v="6368.8541965142358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22096.46834587499"/>
    <n v="0"/>
    <n v="0"/>
    <n v="0"/>
    <n v="0"/>
    <n v="0"/>
    <n v="0"/>
    <n v="0"/>
    <n v="22096.46834587499"/>
    <n v="0"/>
    <n v="0"/>
    <n v="0"/>
    <n v="0"/>
    <n v="0"/>
    <n v="0"/>
    <n v="0"/>
    <n v="0"/>
    <n v="0"/>
    <n v="0"/>
    <x v="0"/>
  </r>
  <r>
    <x v="35"/>
    <s v=""/>
    <n v="0"/>
    <x v="2"/>
    <s v="Østdanmark"/>
    <n v="85839.954583586805"/>
    <n v="0"/>
    <n v="0"/>
    <n v="0"/>
    <n v="0"/>
    <n v="0"/>
    <n v="0"/>
    <n v="85839.954583586805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42919.977291793402"/>
    <n v="2627.8769501998377"/>
    <n v="0"/>
    <n v="0"/>
    <n v="0"/>
    <n v="0"/>
    <n v="0"/>
    <n v="0"/>
    <n v="40292.100341593563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27468.785466747777"/>
    <n v="0"/>
    <n v="0"/>
    <n v="0"/>
    <n v="0"/>
    <n v="0"/>
    <n v="27468.785466747777"/>
    <n v="0"/>
    <n v="0"/>
    <n v="0"/>
    <n v="27468.785466747777"/>
    <n v="0"/>
    <n v="0.96140749133617209"/>
    <n v="0"/>
    <n v="0.96140749133617209"/>
    <n v="0"/>
    <n v="24996.594774740479"/>
    <n v="0"/>
    <n v="24996.594774740479"/>
    <x v="0"/>
  </r>
  <r>
    <x v="38"/>
    <s v="Græs og urter"/>
    <n v="1"/>
    <x v="2"/>
    <s v="Østdanmark"/>
    <n v="247594.36294776335"/>
    <n v="10324.58768300271"/>
    <n v="0"/>
    <n v="0"/>
    <n v="0"/>
    <n v="0"/>
    <n v="0"/>
    <n v="0"/>
    <n v="237269.77526476065"/>
    <n v="209902.43302081013"/>
    <n v="0"/>
    <n v="0.56968359931579948"/>
    <n v="0.56968359931579948"/>
    <n v="0"/>
    <n v="0.56968359931579948"/>
    <n v="41980.486604162026"/>
    <n v="41980.486604162026"/>
    <n v="0"/>
    <n v="41980.486604162026"/>
    <x v="0"/>
  </r>
  <r>
    <x v="39"/>
    <s v=""/>
    <n v="0"/>
    <x v="2"/>
    <s v="Østdanmark"/>
    <n v="867.75758971205016"/>
    <n v="0"/>
    <n v="0"/>
    <n v="0"/>
    <n v="0"/>
    <n v="0"/>
    <n v="0"/>
    <n v="0"/>
    <n v="867.75758971205016"/>
    <n v="0"/>
    <n v="0"/>
    <n v="0"/>
    <n v="0"/>
    <n v="0"/>
    <n v="0"/>
    <n v="0"/>
    <n v="0"/>
    <n v="0"/>
    <n v="0"/>
    <x v="0"/>
  </r>
  <r>
    <x v="40"/>
    <s v=""/>
    <n v="0"/>
    <x v="2"/>
    <s v="Østdanmark"/>
    <n v="737.73165624574028"/>
    <n v="483.79324606189488"/>
    <n v="0"/>
    <n v="0"/>
    <n v="0"/>
    <n v="0"/>
    <n v="0"/>
    <n v="0"/>
    <n v="253.93841018384541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2305.9942200431"/>
    <n v="0"/>
    <n v="0"/>
    <n v="0"/>
    <n v="1324453.0115708997"/>
    <n v="0"/>
    <n v="0"/>
    <n v="0"/>
    <n v="2167852.9826491433"/>
    <n v="2167852.9826491433"/>
    <n v="1324453.0115708997"/>
    <n v="1.0817803168717492"/>
    <n v="1.7426956141757439"/>
    <n v="0.66091529730399479"/>
    <n v="1.081780316871749"/>
    <n v="130071.1789589486"/>
    <n v="209538.35965320258"/>
    <n v="79467.180694253984"/>
    <n v="130071.1789589486"/>
    <x v="0"/>
  </r>
  <r>
    <x v="42"/>
    <s v="Husdyrgødning"/>
    <n v="1"/>
    <x v="2"/>
    <s v="Østdanmark"/>
    <n v="17096.051577225953"/>
    <n v="0"/>
    <n v="0"/>
    <n v="0"/>
    <n v="9060.9073359297563"/>
    <n v="8035.1442412961978"/>
    <n v="0"/>
    <n v="0"/>
    <n v="0"/>
    <n v="0"/>
    <n v="9060.9073359297563"/>
    <n v="0"/>
    <n v="3.9034388803185398E-3"/>
    <n v="3.9034388803185398E-3"/>
    <n v="0"/>
    <n v="0"/>
    <n v="453.04536679648783"/>
    <n v="453.04536679648783"/>
    <n v="0"/>
    <x v="0"/>
  </r>
  <r>
    <x v="43"/>
    <s v=""/>
    <n v="0"/>
    <x v="2"/>
    <s v="Østdanmark"/>
    <n v="8103.284407279948"/>
    <n v="0"/>
    <n v="0"/>
    <n v="0"/>
    <n v="0"/>
    <n v="0"/>
    <n v="0"/>
    <n v="0"/>
    <n v="8103.28440727994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119.38794894044119"/>
    <n v="0"/>
    <n v="0"/>
    <n v="0"/>
    <n v="0"/>
    <n v="0"/>
    <n v="0"/>
    <n v="4380.6120510595592"/>
    <n v="4380.6120510595592"/>
    <n v="0"/>
    <n v="3.9315993158259548E-3"/>
    <n v="3.9315993158259548E-3"/>
    <n v="0"/>
    <n v="3.9315993158259548E-3"/>
    <n v="657.09180765893382"/>
    <n v="657.09180765893382"/>
    <n v="0"/>
    <n v="657.09180765893382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93911.86485397187"/>
    <n v="0"/>
    <n v="0"/>
    <n v="0"/>
    <n v="0"/>
    <n v="0"/>
    <n v="593911.86485397187"/>
    <n v="0"/>
    <n v="0"/>
    <n v="0"/>
    <n v="593911.86485397187"/>
    <n v="0"/>
    <n v="8.6079025342490016"/>
    <n v="0"/>
    <n v="8.6079025342490016"/>
    <n v="0"/>
    <n v="293738.90982569358"/>
    <n v="0"/>
    <n v="293738.90982569358"/>
    <x v="0"/>
  </r>
  <r>
    <x v="47"/>
    <s v=""/>
    <n v="0"/>
    <x v="2"/>
    <s v="Østdanmark"/>
    <n v="165231.73873877228"/>
    <n v="0"/>
    <n v="0"/>
    <n v="0"/>
    <n v="0"/>
    <n v="0"/>
    <n v="0"/>
    <n v="0"/>
    <n v="165231.73873877228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172698.38963314588"/>
    <n v="1210615.7113283526"/>
    <n v="392844.7983260504"/>
    <n v="392844.7983260504"/>
  </r>
  <r>
    <x v="0"/>
    <x v="1"/>
    <x v="1"/>
    <s v="Konventionel"/>
    <x v="0"/>
    <s v="Halm"/>
    <n v="162502.61268805928"/>
    <n v="627260.08497590886"/>
    <n v="185137.60160937905"/>
    <n v="185137.60160937905"/>
  </r>
  <r>
    <x v="0"/>
    <x v="2"/>
    <x v="1"/>
    <s v="Konventionel"/>
    <x v="0"/>
    <s v="Halm"/>
    <n v="41667.79106598362"/>
    <n v="183338.28069032796"/>
    <n v="97352.627046564128"/>
    <n v="97352.627046564128"/>
  </r>
  <r>
    <x v="0"/>
    <x v="3"/>
    <x v="1"/>
    <s v="Konventionel"/>
    <x v="0"/>
    <s v="Græs"/>
    <n v="79447.372407112256"/>
    <n v="3942178.61884091"/>
    <n v="0"/>
    <n v="3942178.61884091"/>
  </r>
  <r>
    <x v="0"/>
    <x v="4"/>
    <x v="1"/>
    <s v="Konventionel"/>
    <x v="0"/>
    <s v="Grøntsager"/>
    <n v="23733.116798028695"/>
    <n v="492462.17355909548"/>
    <n v="0"/>
    <n v="492462.17355909548"/>
  </r>
  <r>
    <x v="0"/>
    <x v="5"/>
    <x v="1"/>
    <s v="Konventionel"/>
    <x v="0"/>
    <s v="Kartofler"/>
    <n v="18314.785524866154"/>
    <n v="777845.41485767532"/>
    <n v="0"/>
    <n v="777845.41485767532"/>
  </r>
  <r>
    <x v="0"/>
    <x v="6"/>
    <x v="1"/>
    <s v="Konventionel"/>
    <x v="0"/>
    <s v="Roer"/>
    <n v="1787.9048045348884"/>
    <n v="145273.93665504374"/>
    <n v="0"/>
    <n v="145273.93665504374"/>
  </r>
  <r>
    <x v="0"/>
    <x v="7"/>
    <x v="1"/>
    <s v="Konventionel"/>
    <x v="0"/>
    <s v="Majs"/>
    <n v="40567.410384497816"/>
    <n v="1805655.4362139979"/>
    <n v="0"/>
    <n v="1805655.4362139979"/>
  </r>
  <r>
    <x v="0"/>
    <x v="8"/>
    <x v="1"/>
    <s v="Konventionel"/>
    <x v="0"/>
    <s v="Frugt"/>
    <n v="14897.502511358665"/>
    <n v="126479.79632143509"/>
    <n v="0"/>
    <n v="126479.79632143509"/>
  </r>
  <r>
    <x v="0"/>
    <x v="9"/>
    <x v="1"/>
    <s v="Konventionel"/>
    <x v="0"/>
    <s v="Øvrige"/>
    <n v="19897.459682199926"/>
    <n v="592863.58464724361"/>
    <n v="0"/>
    <n v="592863.58464724361"/>
  </r>
  <r>
    <x v="0"/>
    <x v="10"/>
    <x v="1"/>
    <s v="Konventionel"/>
    <x v="0"/>
    <s v="Halm"/>
    <n v="20930.3776507398"/>
    <n v="299071.25189503928"/>
    <n v="49395.691255745929"/>
    <n v="49395.691255745929"/>
  </r>
  <r>
    <x v="0"/>
    <x v="11"/>
    <x v="1"/>
    <s v="Konventionel"/>
    <x v="0"/>
    <s v="Juletræer"/>
    <n v="5642.7197646373925"/>
    <n v="282135.98823186959"/>
    <n v="0"/>
    <n v="282135.98823186959"/>
  </r>
  <r>
    <x v="0"/>
    <x v="12"/>
    <x v="1"/>
    <s v="Konventionel"/>
    <x v="0"/>
    <s v="Pil &amp; poppel"/>
    <n v="2075.5733753802315"/>
    <n v="50623.740862932478"/>
    <n v="0"/>
    <n v="50623.740862932478"/>
  </r>
  <r>
    <x v="0"/>
    <x v="13"/>
    <x v="1"/>
    <s v="Konventionel"/>
    <x v="0"/>
    <s v="Græs"/>
    <n v="84459.789309670814"/>
    <n v="1164700.4945803606"/>
    <n v="0"/>
    <n v="1164700.4945803606"/>
  </r>
  <r>
    <x v="0"/>
    <x v="0"/>
    <x v="2"/>
    <s v="Konventionel"/>
    <x v="0"/>
    <s v="Korn"/>
    <n v="0"/>
    <n v="0"/>
    <n v="0"/>
    <n v="0"/>
  </r>
  <r>
    <x v="0"/>
    <x v="1"/>
    <x v="2"/>
    <s v="Konventionel"/>
    <x v="0"/>
    <s v="Bælgsæd"/>
    <n v="0"/>
    <n v="0"/>
    <n v="0"/>
    <n v="0"/>
  </r>
  <r>
    <x v="0"/>
    <x v="2"/>
    <x v="2"/>
    <s v="Konventionel"/>
    <x v="0"/>
    <s v="Raps"/>
    <n v="0"/>
    <n v="0"/>
    <n v="0"/>
    <n v="0"/>
  </r>
  <r>
    <x v="0"/>
    <x v="3"/>
    <x v="2"/>
    <s v="Konventionel"/>
    <x v="0"/>
    <s v="Græs"/>
    <n v="0"/>
    <n v="0"/>
    <n v="0"/>
    <n v="0"/>
  </r>
  <r>
    <x v="0"/>
    <x v="4"/>
    <x v="2"/>
    <s v="Konventionel"/>
    <x v="0"/>
    <s v="Grøntsager"/>
    <n v="0"/>
    <n v="0"/>
    <n v="0"/>
    <n v="0"/>
  </r>
  <r>
    <x v="0"/>
    <x v="5"/>
    <x v="2"/>
    <s v="Konventionel"/>
    <x v="0"/>
    <s v="Kartofler"/>
    <n v="0"/>
    <n v="0"/>
    <n v="0"/>
    <n v="0"/>
  </r>
  <r>
    <x v="0"/>
    <x v="6"/>
    <x v="2"/>
    <s v="Konventionel"/>
    <x v="0"/>
    <s v="Roer"/>
    <n v="0"/>
    <n v="0"/>
    <n v="0"/>
    <n v="0"/>
  </r>
  <r>
    <x v="0"/>
    <x v="7"/>
    <x v="2"/>
    <s v="Konventionel"/>
    <x v="0"/>
    <s v="Majs"/>
    <n v="0"/>
    <n v="0"/>
    <n v="0"/>
    <n v="0"/>
  </r>
  <r>
    <x v="0"/>
    <x v="8"/>
    <x v="2"/>
    <s v="Konventionel"/>
    <x v="0"/>
    <s v="Frugt"/>
    <n v="0"/>
    <n v="0"/>
    <n v="0"/>
    <n v="0"/>
  </r>
  <r>
    <x v="0"/>
    <x v="9"/>
    <x v="2"/>
    <s v="Konventionel"/>
    <x v="0"/>
    <s v="Øvrige"/>
    <n v="0"/>
    <n v="0"/>
    <n v="0"/>
    <n v="0"/>
  </r>
  <r>
    <x v="0"/>
    <x v="10"/>
    <x v="2"/>
    <s v="Konventionel"/>
    <x v="0"/>
    <s v="Frø"/>
    <n v="0"/>
    <n v="0"/>
    <n v="0"/>
    <n v="0"/>
  </r>
  <r>
    <x v="0"/>
    <x v="11"/>
    <x v="2"/>
    <s v="Konventionel"/>
    <x v="0"/>
    <s v="Juletræer"/>
    <n v="0"/>
    <n v="0"/>
    <n v="0"/>
    <n v="0"/>
  </r>
  <r>
    <x v="0"/>
    <x v="12"/>
    <x v="2"/>
    <s v="Konventionel"/>
    <x v="0"/>
    <s v="Pil &amp; poppel"/>
    <n v="0"/>
    <n v="0"/>
    <n v="0"/>
    <n v="0"/>
  </r>
  <r>
    <x v="0"/>
    <x v="13"/>
    <x v="2"/>
    <s v="Konventionel"/>
    <x v="0"/>
    <s v="Græs"/>
    <n v="0"/>
    <n v="0"/>
    <n v="0"/>
    <n v="0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72698.38963314588"/>
    <n v="811112.5265899963"/>
    <n v="263206.0148784538"/>
    <n v="263206.0148784538"/>
  </r>
  <r>
    <x v="0"/>
    <x v="1"/>
    <x v="1"/>
    <s v="Økologisk"/>
    <x v="0"/>
    <s v="Halm"/>
    <n v="162502.61268805928"/>
    <n v="357538.24843626807"/>
    <n v="105528.43291734604"/>
    <n v="105528.43291734604"/>
  </r>
  <r>
    <x v="0"/>
    <x v="2"/>
    <x v="1"/>
    <s v="Økologisk"/>
    <x v="0"/>
    <s v="Halm"/>
    <n v="41667.79106598362"/>
    <n v="100836.05437968037"/>
    <n v="53543.944875610272"/>
    <n v="53543.944875610272"/>
  </r>
  <r>
    <x v="0"/>
    <x v="3"/>
    <x v="1"/>
    <s v="Økologisk"/>
    <x v="0"/>
    <s v="Græs"/>
    <n v="79447.372407112256"/>
    <n v="3074899.32269591"/>
    <n v="0"/>
    <n v="3074899.32269591"/>
  </r>
  <r>
    <x v="0"/>
    <x v="4"/>
    <x v="1"/>
    <s v="Økologisk"/>
    <x v="0"/>
    <s v="Grøntsager"/>
    <n v="23733.116798028695"/>
    <n v="280703.43892868439"/>
    <n v="0"/>
    <n v="280703.43892868439"/>
  </r>
  <r>
    <x v="0"/>
    <x v="5"/>
    <x v="1"/>
    <s v="Økologisk"/>
    <x v="0"/>
    <s v="Kartofler"/>
    <n v="18314.785524866154"/>
    <n v="443371.88646887487"/>
    <n v="0"/>
    <n v="443371.88646887487"/>
  </r>
  <r>
    <x v="0"/>
    <x v="6"/>
    <x v="1"/>
    <s v="Økologisk"/>
    <x v="0"/>
    <s v="Roer"/>
    <n v="1787.9048045348884"/>
    <n v="82806.14389337493"/>
    <n v="0"/>
    <n v="82806.14389337493"/>
  </r>
  <r>
    <x v="0"/>
    <x v="7"/>
    <x v="1"/>
    <s v="Økologisk"/>
    <x v="0"/>
    <s v="Majs"/>
    <n v="40567.410384497816"/>
    <n v="1498694.0120576182"/>
    <n v="0"/>
    <n v="1498694.0120576182"/>
  </r>
  <r>
    <x v="0"/>
    <x v="8"/>
    <x v="1"/>
    <s v="Økologisk"/>
    <x v="0"/>
    <s v="Frugt"/>
    <n v="14897.502511358665"/>
    <n v="72093.483903217988"/>
    <n v="0"/>
    <n v="72093.483903217988"/>
  </r>
  <r>
    <x v="0"/>
    <x v="9"/>
    <x v="1"/>
    <s v="Økologisk"/>
    <x v="0"/>
    <s v="Øvrige"/>
    <n v="19897.459682199926"/>
    <n v="337932.2432489288"/>
    <n v="0"/>
    <n v="337932.2432489288"/>
  </r>
  <r>
    <x v="0"/>
    <x v="10"/>
    <x v="1"/>
    <s v="Økologisk"/>
    <x v="0"/>
    <s v="Halm"/>
    <n v="20930.3776507398"/>
    <n v="170470.61358017236"/>
    <n v="28155.544015775173"/>
    <n v="28155.544015775173"/>
  </r>
  <r>
    <x v="0"/>
    <x v="11"/>
    <x v="1"/>
    <s v="Økologisk"/>
    <x v="0"/>
    <s v="Juletræer"/>
    <n v="5642.7197646373925"/>
    <n v="160817.51329216568"/>
    <n v="0"/>
    <n v="160817.51329216568"/>
  </r>
  <r>
    <x v="0"/>
    <x v="12"/>
    <x v="1"/>
    <s v="Økologisk"/>
    <x v="0"/>
    <s v="Pil &amp; poppel"/>
    <n v="2075.5733753802315"/>
    <n v="28855.53229187151"/>
    <n v="0"/>
    <n v="28855.53229187151"/>
  </r>
  <r>
    <x v="0"/>
    <x v="13"/>
    <x v="1"/>
    <s v="Økologisk"/>
    <x v="0"/>
    <s v="Græs"/>
    <n v="84459.789309670814"/>
    <n v="1164700.4945803606"/>
    <n v="0"/>
    <n v="1164700.4945803606"/>
  </r>
  <r>
    <x v="0"/>
    <x v="0"/>
    <x v="2"/>
    <s v="Økologisk"/>
    <x v="0"/>
    <s v="Halm"/>
    <n v="44370.532475093103"/>
    <n v="208395.07987576979"/>
    <n v="67624.203419687285"/>
    <n v="67624.203419687285"/>
  </r>
  <r>
    <x v="0"/>
    <x v="1"/>
    <x v="2"/>
    <s v="Økologisk"/>
    <x v="0"/>
    <s v="Halm"/>
    <n v="196337.31428605763"/>
    <n v="431981.35889218404"/>
    <n v="127500.52911198867"/>
    <n v="127500.52911198867"/>
  </r>
  <r>
    <x v="0"/>
    <x v="2"/>
    <x v="2"/>
    <s v="Økologisk"/>
    <x v="0"/>
    <s v="Halm"/>
    <n v="26638.18036097239"/>
    <n v="64464.396473553184"/>
    <n v="34230.594527456742"/>
    <n v="34230.594527456742"/>
  </r>
  <r>
    <x v="0"/>
    <x v="3"/>
    <x v="2"/>
    <s v="Økologisk"/>
    <x v="0"/>
    <s v="Græs"/>
    <n v="24376.47640121137"/>
    <n v="943457.39204192441"/>
    <n v="0"/>
    <n v="943457.39204192441"/>
  </r>
  <r>
    <x v="0"/>
    <x v="4"/>
    <x v="2"/>
    <s v="Økologisk"/>
    <x v="0"/>
    <s v="Grøntsager"/>
    <n v="37184.355853018991"/>
    <n v="439797.96885158209"/>
    <n v="0"/>
    <n v="439797.96885158209"/>
  </r>
  <r>
    <x v="0"/>
    <x v="5"/>
    <x v="2"/>
    <s v="Økologisk"/>
    <x v="0"/>
    <s v="Kartofler"/>
    <n v="11708.625477922109"/>
    <n v="283447.23770068795"/>
    <n v="0"/>
    <n v="283447.23770068795"/>
  </r>
  <r>
    <x v="0"/>
    <x v="6"/>
    <x v="2"/>
    <s v="Økologisk"/>
    <x v="0"/>
    <s v="Roer"/>
    <n v="1143.0058909537534"/>
    <n v="52937.891344787648"/>
    <n v="0"/>
    <n v="52937.891344787648"/>
  </r>
  <r>
    <x v="0"/>
    <x v="7"/>
    <x v="2"/>
    <s v="Økologisk"/>
    <x v="0"/>
    <s v="Majs"/>
    <n v="17129.989529427923"/>
    <n v="632838.34218251472"/>
    <n v="0"/>
    <n v="632838.34218251472"/>
  </r>
  <r>
    <x v="0"/>
    <x v="8"/>
    <x v="2"/>
    <s v="Økologisk"/>
    <x v="0"/>
    <s v="Frugt"/>
    <n v="18328.678079943478"/>
    <n v="88697.971832270472"/>
    <n v="0"/>
    <n v="88697.971832270472"/>
  </r>
  <r>
    <x v="0"/>
    <x v="9"/>
    <x v="2"/>
    <s v="Økologisk"/>
    <x v="0"/>
    <s v="Øvrige"/>
    <n v="12720.427605588167"/>
    <n v="216039.77113156478"/>
    <n v="0"/>
    <n v="216039.77113156478"/>
  </r>
  <r>
    <x v="0"/>
    <x v="10"/>
    <x v="2"/>
    <s v="Økologisk"/>
    <x v="0"/>
    <s v="Halm"/>
    <n v="13380.771109290645"/>
    <n v="108981.70588412651"/>
    <n v="17999.813296217773"/>
    <n v="17999.813296217773"/>
  </r>
  <r>
    <x v="0"/>
    <x v="11"/>
    <x v="2"/>
    <s v="Økologisk"/>
    <x v="0"/>
    <s v="Juletræer"/>
    <n v="3607.38553620004"/>
    <n v="102810.48778170114"/>
    <n v="0"/>
    <n v="102810.48778170114"/>
  </r>
  <r>
    <x v="0"/>
    <x v="12"/>
    <x v="2"/>
    <s v="Økologisk"/>
    <x v="0"/>
    <s v="Pil &amp; poppel"/>
    <n v="1326.9121427208943"/>
    <n v="18447.315154900236"/>
    <n v="0"/>
    <n v="18447.315154900236"/>
  </r>
  <r>
    <x v="0"/>
    <x v="13"/>
    <x v="2"/>
    <s v="Økologisk"/>
    <x v="0"/>
    <s v="Græs"/>
    <n v="31983.269138445532"/>
    <n v="441049.28141916398"/>
    <n v="0"/>
    <n v="441049.28141916398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Korn"/>
    <n v="0"/>
    <n v="0"/>
    <n v="0"/>
    <n v="0"/>
  </r>
  <r>
    <x v="0"/>
    <x v="1"/>
    <x v="1"/>
    <s v="Konventionel"/>
    <x v="1"/>
    <s v="Bælgsæd"/>
    <n v="0"/>
    <n v="0"/>
    <n v="0"/>
    <n v="0"/>
  </r>
  <r>
    <x v="0"/>
    <x v="2"/>
    <x v="1"/>
    <s v="Konventionel"/>
    <x v="1"/>
    <s v="Raps"/>
    <n v="0"/>
    <n v="0"/>
    <n v="0"/>
    <n v="0"/>
  </r>
  <r>
    <x v="0"/>
    <x v="3"/>
    <x v="1"/>
    <s v="Konventionel"/>
    <x v="1"/>
    <s v="Græs"/>
    <n v="0"/>
    <n v="0"/>
    <n v="0"/>
    <n v="0"/>
  </r>
  <r>
    <x v="0"/>
    <x v="4"/>
    <x v="1"/>
    <s v="Konventionel"/>
    <x v="1"/>
    <s v="Grøntsager"/>
    <n v="0"/>
    <n v="0"/>
    <n v="0"/>
    <n v="0"/>
  </r>
  <r>
    <x v="0"/>
    <x v="5"/>
    <x v="1"/>
    <s v="Konventionel"/>
    <x v="1"/>
    <s v="Kartofler"/>
    <n v="0"/>
    <n v="0"/>
    <n v="0"/>
    <n v="0"/>
  </r>
  <r>
    <x v="0"/>
    <x v="6"/>
    <x v="1"/>
    <s v="Konventionel"/>
    <x v="1"/>
    <s v="Roer"/>
    <n v="0"/>
    <n v="0"/>
    <n v="0"/>
    <n v="0"/>
  </r>
  <r>
    <x v="0"/>
    <x v="7"/>
    <x v="1"/>
    <s v="Konventionel"/>
    <x v="1"/>
    <s v="Majs"/>
    <n v="0"/>
    <n v="0"/>
    <n v="0"/>
    <n v="0"/>
  </r>
  <r>
    <x v="0"/>
    <x v="8"/>
    <x v="1"/>
    <s v="Konventionel"/>
    <x v="1"/>
    <s v="Frugt"/>
    <n v="0"/>
    <n v="0"/>
    <n v="0"/>
    <n v="0"/>
  </r>
  <r>
    <x v="0"/>
    <x v="9"/>
    <x v="1"/>
    <s v="Konventionel"/>
    <x v="1"/>
    <s v="Øvrige"/>
    <n v="0"/>
    <n v="0"/>
    <n v="0"/>
    <n v="0"/>
  </r>
  <r>
    <x v="0"/>
    <x v="10"/>
    <x v="1"/>
    <s v="Konventionel"/>
    <x v="1"/>
    <s v="Frø"/>
    <n v="0"/>
    <n v="0"/>
    <n v="0"/>
    <n v="0"/>
  </r>
  <r>
    <x v="0"/>
    <x v="11"/>
    <x v="1"/>
    <s v="Konventionel"/>
    <x v="1"/>
    <s v="Juletræer"/>
    <n v="0"/>
    <n v="0"/>
    <n v="0"/>
    <n v="0"/>
  </r>
  <r>
    <x v="0"/>
    <x v="12"/>
    <x v="1"/>
    <s v="Konventionel"/>
    <x v="1"/>
    <s v="Pil &amp; poppel"/>
    <n v="0"/>
    <n v="0"/>
    <n v="0"/>
    <n v="0"/>
  </r>
  <r>
    <x v="0"/>
    <x v="13"/>
    <x v="1"/>
    <s v="Konventionel"/>
    <x v="1"/>
    <s v="Græs"/>
    <n v="0"/>
    <n v="0"/>
    <n v="0"/>
    <n v="0"/>
  </r>
  <r>
    <x v="0"/>
    <x v="0"/>
    <x v="2"/>
    <s v="Konventionel"/>
    <x v="1"/>
    <s v="Korn"/>
    <n v="0"/>
    <n v="0"/>
    <n v="0"/>
    <n v="0"/>
  </r>
  <r>
    <x v="0"/>
    <x v="1"/>
    <x v="2"/>
    <s v="Konventionel"/>
    <x v="1"/>
    <s v="Bælgsæd"/>
    <n v="0"/>
    <n v="0"/>
    <n v="0"/>
    <n v="0"/>
  </r>
  <r>
    <x v="0"/>
    <x v="2"/>
    <x v="2"/>
    <s v="Konventionel"/>
    <x v="1"/>
    <s v="Raps"/>
    <n v="0"/>
    <n v="0"/>
    <n v="0"/>
    <n v="0"/>
  </r>
  <r>
    <x v="0"/>
    <x v="3"/>
    <x v="2"/>
    <s v="Konventionel"/>
    <x v="1"/>
    <s v="Græs"/>
    <n v="0"/>
    <n v="0"/>
    <n v="0"/>
    <n v="0"/>
  </r>
  <r>
    <x v="0"/>
    <x v="4"/>
    <x v="2"/>
    <s v="Konventionel"/>
    <x v="1"/>
    <s v="Grøntsager"/>
    <n v="0"/>
    <n v="0"/>
    <n v="0"/>
    <n v="0"/>
  </r>
  <r>
    <x v="0"/>
    <x v="5"/>
    <x v="2"/>
    <s v="Konventionel"/>
    <x v="1"/>
    <s v="Kartofler"/>
    <n v="0"/>
    <n v="0"/>
    <n v="0"/>
    <n v="0"/>
  </r>
  <r>
    <x v="0"/>
    <x v="6"/>
    <x v="2"/>
    <s v="Konventionel"/>
    <x v="1"/>
    <s v="Roer"/>
    <n v="0"/>
    <n v="0"/>
    <n v="0"/>
    <n v="0"/>
  </r>
  <r>
    <x v="0"/>
    <x v="7"/>
    <x v="2"/>
    <s v="Konventionel"/>
    <x v="1"/>
    <s v="Majs"/>
    <n v="0"/>
    <n v="0"/>
    <n v="0"/>
    <n v="0"/>
  </r>
  <r>
    <x v="0"/>
    <x v="8"/>
    <x v="2"/>
    <s v="Konventionel"/>
    <x v="1"/>
    <s v="Frugt"/>
    <n v="0"/>
    <n v="0"/>
    <n v="0"/>
    <n v="0"/>
  </r>
  <r>
    <x v="0"/>
    <x v="9"/>
    <x v="2"/>
    <s v="Konventionel"/>
    <x v="1"/>
    <s v="Øvrige"/>
    <n v="0"/>
    <n v="0"/>
    <n v="0"/>
    <n v="0"/>
  </r>
  <r>
    <x v="0"/>
    <x v="10"/>
    <x v="2"/>
    <s v="Konventionel"/>
    <x v="1"/>
    <s v="Frø"/>
    <n v="0"/>
    <n v="0"/>
    <n v="0"/>
    <n v="0"/>
  </r>
  <r>
    <x v="0"/>
    <x v="11"/>
    <x v="2"/>
    <s v="Konventionel"/>
    <x v="1"/>
    <s v="Juletræer"/>
    <n v="0"/>
    <n v="0"/>
    <n v="0"/>
    <n v="0"/>
  </r>
  <r>
    <x v="0"/>
    <x v="12"/>
    <x v="2"/>
    <s v="Konventionel"/>
    <x v="1"/>
    <s v="Pil &amp; poppel"/>
    <n v="0"/>
    <n v="0"/>
    <n v="0"/>
    <n v="0"/>
  </r>
  <r>
    <x v="0"/>
    <x v="13"/>
    <x v="2"/>
    <s v="Konventionel"/>
    <x v="1"/>
    <s v="Græs"/>
    <n v="0"/>
    <n v="0"/>
    <n v="0"/>
    <n v="0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Korn"/>
    <n v="0"/>
    <n v="0"/>
    <n v="0"/>
    <n v="0"/>
  </r>
  <r>
    <x v="0"/>
    <x v="1"/>
    <x v="1"/>
    <s v="Økologisk"/>
    <x v="1"/>
    <s v="Bælgsæd"/>
    <n v="0"/>
    <n v="0"/>
    <n v="0"/>
    <n v="0"/>
  </r>
  <r>
    <x v="0"/>
    <x v="2"/>
    <x v="1"/>
    <s v="Økologisk"/>
    <x v="1"/>
    <s v="Raps"/>
    <n v="0"/>
    <n v="0"/>
    <n v="0"/>
    <n v="0"/>
  </r>
  <r>
    <x v="0"/>
    <x v="3"/>
    <x v="1"/>
    <s v="Økologisk"/>
    <x v="1"/>
    <s v="Græs"/>
    <n v="0"/>
    <n v="0"/>
    <n v="0"/>
    <n v="0"/>
  </r>
  <r>
    <x v="0"/>
    <x v="4"/>
    <x v="1"/>
    <s v="Økologisk"/>
    <x v="1"/>
    <s v="Grøntsager"/>
    <n v="0"/>
    <n v="0"/>
    <n v="0"/>
    <n v="0"/>
  </r>
  <r>
    <x v="0"/>
    <x v="5"/>
    <x v="1"/>
    <s v="Økologisk"/>
    <x v="1"/>
    <s v="Kartofler"/>
    <n v="0"/>
    <n v="0"/>
    <n v="0"/>
    <n v="0"/>
  </r>
  <r>
    <x v="0"/>
    <x v="6"/>
    <x v="1"/>
    <s v="Økologisk"/>
    <x v="1"/>
    <s v="Roer"/>
    <n v="0"/>
    <n v="0"/>
    <n v="0"/>
    <n v="0"/>
  </r>
  <r>
    <x v="0"/>
    <x v="7"/>
    <x v="1"/>
    <s v="Økologisk"/>
    <x v="1"/>
    <s v="Majs"/>
    <n v="0"/>
    <n v="0"/>
    <n v="0"/>
    <n v="0"/>
  </r>
  <r>
    <x v="0"/>
    <x v="8"/>
    <x v="1"/>
    <s v="Økologisk"/>
    <x v="1"/>
    <s v="Frugt"/>
    <n v="0"/>
    <n v="0"/>
    <n v="0"/>
    <n v="0"/>
  </r>
  <r>
    <x v="0"/>
    <x v="9"/>
    <x v="1"/>
    <s v="Økologisk"/>
    <x v="1"/>
    <s v="Øvrige"/>
    <n v="0"/>
    <n v="0"/>
    <n v="0"/>
    <n v="0"/>
  </r>
  <r>
    <x v="0"/>
    <x v="10"/>
    <x v="1"/>
    <s v="Økologisk"/>
    <x v="1"/>
    <s v="Frø"/>
    <n v="0"/>
    <n v="0"/>
    <n v="0"/>
    <n v="0"/>
  </r>
  <r>
    <x v="0"/>
    <x v="11"/>
    <x v="1"/>
    <s v="Økologisk"/>
    <x v="1"/>
    <s v="Juletræer"/>
    <n v="0"/>
    <n v="0"/>
    <n v="0"/>
    <n v="0"/>
  </r>
  <r>
    <x v="0"/>
    <x v="12"/>
    <x v="1"/>
    <s v="Økologisk"/>
    <x v="1"/>
    <s v="Pil &amp; poppel"/>
    <n v="0"/>
    <n v="0"/>
    <n v="0"/>
    <n v="0"/>
  </r>
  <r>
    <x v="0"/>
    <x v="13"/>
    <x v="1"/>
    <s v="Økologisk"/>
    <x v="1"/>
    <s v="Græs"/>
    <n v="0"/>
    <n v="0"/>
    <n v="0"/>
    <n v="0"/>
  </r>
  <r>
    <x v="0"/>
    <x v="0"/>
    <x v="2"/>
    <s v="Økologisk"/>
    <x v="1"/>
    <s v="Korn"/>
    <n v="0"/>
    <n v="0"/>
    <n v="0"/>
    <n v="0"/>
  </r>
  <r>
    <x v="0"/>
    <x v="1"/>
    <x v="2"/>
    <s v="Økologisk"/>
    <x v="1"/>
    <s v="Bælgsæd"/>
    <n v="0"/>
    <n v="0"/>
    <n v="0"/>
    <n v="0"/>
  </r>
  <r>
    <x v="0"/>
    <x v="2"/>
    <x v="2"/>
    <s v="Økologisk"/>
    <x v="1"/>
    <s v="Raps"/>
    <n v="0"/>
    <n v="0"/>
    <n v="0"/>
    <n v="0"/>
  </r>
  <r>
    <x v="0"/>
    <x v="3"/>
    <x v="2"/>
    <s v="Økologisk"/>
    <x v="1"/>
    <s v="Græs"/>
    <n v="0"/>
    <n v="0"/>
    <n v="0"/>
    <n v="0"/>
  </r>
  <r>
    <x v="0"/>
    <x v="4"/>
    <x v="2"/>
    <s v="Økologisk"/>
    <x v="1"/>
    <s v="Grøntsager"/>
    <n v="0"/>
    <n v="0"/>
    <n v="0"/>
    <n v="0"/>
  </r>
  <r>
    <x v="0"/>
    <x v="5"/>
    <x v="2"/>
    <s v="Økologisk"/>
    <x v="1"/>
    <s v="Kartofler"/>
    <n v="0"/>
    <n v="0"/>
    <n v="0"/>
    <n v="0"/>
  </r>
  <r>
    <x v="0"/>
    <x v="6"/>
    <x v="2"/>
    <s v="Økologisk"/>
    <x v="1"/>
    <s v="Roer"/>
    <n v="0"/>
    <n v="0"/>
    <n v="0"/>
    <n v="0"/>
  </r>
  <r>
    <x v="0"/>
    <x v="7"/>
    <x v="2"/>
    <s v="Økologisk"/>
    <x v="1"/>
    <s v="Majs"/>
    <n v="0"/>
    <n v="0"/>
    <n v="0"/>
    <n v="0"/>
  </r>
  <r>
    <x v="0"/>
    <x v="8"/>
    <x v="2"/>
    <s v="Økologisk"/>
    <x v="1"/>
    <s v="Frugt"/>
    <n v="0"/>
    <n v="0"/>
    <n v="0"/>
    <n v="0"/>
  </r>
  <r>
    <x v="0"/>
    <x v="9"/>
    <x v="2"/>
    <s v="Økologisk"/>
    <x v="1"/>
    <s v="Øvrige"/>
    <n v="0"/>
    <n v="0"/>
    <n v="0"/>
    <n v="0"/>
  </r>
  <r>
    <x v="0"/>
    <x v="10"/>
    <x v="2"/>
    <s v="Økologisk"/>
    <x v="1"/>
    <s v="Frø"/>
    <n v="0"/>
    <n v="0"/>
    <n v="0"/>
    <n v="0"/>
  </r>
  <r>
    <x v="0"/>
    <x v="11"/>
    <x v="2"/>
    <s v="Økologisk"/>
    <x v="1"/>
    <s v="Juletræer"/>
    <n v="0"/>
    <n v="0"/>
    <n v="0"/>
    <n v="0"/>
  </r>
  <r>
    <x v="0"/>
    <x v="12"/>
    <x v="2"/>
    <s v="Økologisk"/>
    <x v="1"/>
    <s v="Pil &amp; poppel"/>
    <n v="0"/>
    <n v="0"/>
    <n v="0"/>
    <n v="0"/>
  </r>
  <r>
    <x v="0"/>
    <x v="13"/>
    <x v="2"/>
    <s v="Økologisk"/>
    <x v="1"/>
    <s v="Græs"/>
    <n v="0"/>
    <n v="0"/>
    <n v="0"/>
    <n v="0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Korn"/>
    <n v="0"/>
    <n v="0"/>
    <n v="0"/>
    <n v="0"/>
  </r>
  <r>
    <x v="0"/>
    <x v="1"/>
    <x v="1"/>
    <s v="Konventionel"/>
    <x v="2"/>
    <s v="Bælgsæd"/>
    <n v="0"/>
    <n v="0"/>
    <n v="0"/>
    <n v="0"/>
  </r>
  <r>
    <x v="0"/>
    <x v="2"/>
    <x v="1"/>
    <s v="Konventionel"/>
    <x v="2"/>
    <s v="Raps"/>
    <n v="0"/>
    <n v="0"/>
    <n v="0"/>
    <n v="0"/>
  </r>
  <r>
    <x v="0"/>
    <x v="3"/>
    <x v="1"/>
    <s v="Konventionel"/>
    <x v="2"/>
    <s v="Græs"/>
    <n v="0"/>
    <n v="0"/>
    <n v="0"/>
    <n v="0"/>
  </r>
  <r>
    <x v="0"/>
    <x v="4"/>
    <x v="1"/>
    <s v="Konventionel"/>
    <x v="2"/>
    <s v="Grøntsager"/>
    <n v="0"/>
    <n v="0"/>
    <n v="0"/>
    <n v="0"/>
  </r>
  <r>
    <x v="0"/>
    <x v="5"/>
    <x v="1"/>
    <s v="Konventionel"/>
    <x v="2"/>
    <s v="Kartofler"/>
    <n v="0"/>
    <n v="0"/>
    <n v="0"/>
    <n v="0"/>
  </r>
  <r>
    <x v="0"/>
    <x v="6"/>
    <x v="1"/>
    <s v="Konventionel"/>
    <x v="2"/>
    <s v="Roer"/>
    <n v="0"/>
    <n v="0"/>
    <n v="0"/>
    <n v="0"/>
  </r>
  <r>
    <x v="0"/>
    <x v="7"/>
    <x v="1"/>
    <s v="Konventionel"/>
    <x v="2"/>
    <s v="Majs"/>
    <n v="0"/>
    <n v="0"/>
    <n v="0"/>
    <n v="0"/>
  </r>
  <r>
    <x v="0"/>
    <x v="8"/>
    <x v="1"/>
    <s v="Konventionel"/>
    <x v="2"/>
    <s v="Frugt"/>
    <n v="0"/>
    <n v="0"/>
    <n v="0"/>
    <n v="0"/>
  </r>
  <r>
    <x v="0"/>
    <x v="9"/>
    <x v="1"/>
    <s v="Konventionel"/>
    <x v="2"/>
    <s v="Øvrige"/>
    <n v="0"/>
    <n v="0"/>
    <n v="0"/>
    <n v="0"/>
  </r>
  <r>
    <x v="0"/>
    <x v="10"/>
    <x v="1"/>
    <s v="Konventionel"/>
    <x v="2"/>
    <s v="Frø"/>
    <n v="0"/>
    <n v="0"/>
    <n v="0"/>
    <n v="0"/>
  </r>
  <r>
    <x v="0"/>
    <x v="11"/>
    <x v="1"/>
    <s v="Konventionel"/>
    <x v="2"/>
    <s v="Juletræer"/>
    <n v="0"/>
    <n v="0"/>
    <n v="0"/>
    <n v="0"/>
  </r>
  <r>
    <x v="0"/>
    <x v="12"/>
    <x v="1"/>
    <s v="Konventionel"/>
    <x v="2"/>
    <s v="Pil &amp; poppel"/>
    <n v="0"/>
    <n v="0"/>
    <n v="0"/>
    <n v="0"/>
  </r>
  <r>
    <x v="0"/>
    <x v="13"/>
    <x v="1"/>
    <s v="Konventionel"/>
    <x v="2"/>
    <s v="Græs"/>
    <n v="0"/>
    <n v="0"/>
    <n v="0"/>
    <n v="0"/>
  </r>
  <r>
    <x v="0"/>
    <x v="0"/>
    <x v="2"/>
    <s v="Konventionel"/>
    <x v="2"/>
    <s v="Korn"/>
    <n v="0"/>
    <n v="0"/>
    <n v="0"/>
    <n v="0"/>
  </r>
  <r>
    <x v="0"/>
    <x v="1"/>
    <x v="2"/>
    <s v="Konventionel"/>
    <x v="2"/>
    <s v="Bælgsæd"/>
    <n v="0"/>
    <n v="0"/>
    <n v="0"/>
    <n v="0"/>
  </r>
  <r>
    <x v="0"/>
    <x v="2"/>
    <x v="2"/>
    <s v="Konventionel"/>
    <x v="2"/>
    <s v="Raps"/>
    <n v="0"/>
    <n v="0"/>
    <n v="0"/>
    <n v="0"/>
  </r>
  <r>
    <x v="0"/>
    <x v="3"/>
    <x v="2"/>
    <s v="Konventionel"/>
    <x v="2"/>
    <s v="Græs"/>
    <n v="0"/>
    <n v="0"/>
    <n v="0"/>
    <n v="0"/>
  </r>
  <r>
    <x v="0"/>
    <x v="4"/>
    <x v="2"/>
    <s v="Konventionel"/>
    <x v="2"/>
    <s v="Grøntsager"/>
    <n v="0"/>
    <n v="0"/>
    <n v="0"/>
    <n v="0"/>
  </r>
  <r>
    <x v="0"/>
    <x v="5"/>
    <x v="2"/>
    <s v="Konventionel"/>
    <x v="2"/>
    <s v="Kartofler"/>
    <n v="0"/>
    <n v="0"/>
    <n v="0"/>
    <n v="0"/>
  </r>
  <r>
    <x v="0"/>
    <x v="6"/>
    <x v="2"/>
    <s v="Konventionel"/>
    <x v="2"/>
    <s v="Roer"/>
    <n v="0"/>
    <n v="0"/>
    <n v="0"/>
    <n v="0"/>
  </r>
  <r>
    <x v="0"/>
    <x v="7"/>
    <x v="2"/>
    <s v="Konventionel"/>
    <x v="2"/>
    <s v="Majs"/>
    <n v="0"/>
    <n v="0"/>
    <n v="0"/>
    <n v="0"/>
  </r>
  <r>
    <x v="0"/>
    <x v="8"/>
    <x v="2"/>
    <s v="Konventionel"/>
    <x v="2"/>
    <s v="Frugt"/>
    <n v="0"/>
    <n v="0"/>
    <n v="0"/>
    <n v="0"/>
  </r>
  <r>
    <x v="0"/>
    <x v="9"/>
    <x v="2"/>
    <s v="Konventionel"/>
    <x v="2"/>
    <s v="Øvrige"/>
    <n v="0"/>
    <n v="0"/>
    <n v="0"/>
    <n v="0"/>
  </r>
  <r>
    <x v="0"/>
    <x v="10"/>
    <x v="2"/>
    <s v="Konventionel"/>
    <x v="2"/>
    <s v="Frø"/>
    <n v="0"/>
    <n v="0"/>
    <n v="0"/>
    <n v="0"/>
  </r>
  <r>
    <x v="0"/>
    <x v="11"/>
    <x v="2"/>
    <s v="Konventionel"/>
    <x v="2"/>
    <s v="Juletræer"/>
    <n v="0"/>
    <n v="0"/>
    <n v="0"/>
    <n v="0"/>
  </r>
  <r>
    <x v="0"/>
    <x v="12"/>
    <x v="2"/>
    <s v="Konventionel"/>
    <x v="2"/>
    <s v="Pil &amp; poppel"/>
    <n v="0"/>
    <n v="0"/>
    <n v="0"/>
    <n v="0"/>
  </r>
  <r>
    <x v="0"/>
    <x v="13"/>
    <x v="2"/>
    <s v="Konventionel"/>
    <x v="2"/>
    <s v="Græs"/>
    <n v="0"/>
    <n v="0"/>
    <n v="0"/>
    <n v="0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Korn"/>
    <n v="0"/>
    <n v="0"/>
    <n v="0"/>
    <n v="0"/>
  </r>
  <r>
    <x v="0"/>
    <x v="1"/>
    <x v="1"/>
    <s v="Økologisk"/>
    <x v="2"/>
    <s v="Bælgsæd"/>
    <n v="0"/>
    <n v="0"/>
    <n v="0"/>
    <n v="0"/>
  </r>
  <r>
    <x v="0"/>
    <x v="2"/>
    <x v="1"/>
    <s v="Økologisk"/>
    <x v="2"/>
    <s v="Raps"/>
    <n v="0"/>
    <n v="0"/>
    <n v="0"/>
    <n v="0"/>
  </r>
  <r>
    <x v="0"/>
    <x v="3"/>
    <x v="1"/>
    <s v="Økologisk"/>
    <x v="2"/>
    <s v="Græs"/>
    <n v="0"/>
    <n v="0"/>
    <n v="0"/>
    <n v="0"/>
  </r>
  <r>
    <x v="0"/>
    <x v="4"/>
    <x v="1"/>
    <s v="Økologisk"/>
    <x v="2"/>
    <s v="Grøntsager"/>
    <n v="0"/>
    <n v="0"/>
    <n v="0"/>
    <n v="0"/>
  </r>
  <r>
    <x v="0"/>
    <x v="5"/>
    <x v="1"/>
    <s v="Økologisk"/>
    <x v="2"/>
    <s v="Kartofler"/>
    <n v="0"/>
    <n v="0"/>
    <n v="0"/>
    <n v="0"/>
  </r>
  <r>
    <x v="0"/>
    <x v="6"/>
    <x v="1"/>
    <s v="Økologisk"/>
    <x v="2"/>
    <s v="Roer"/>
    <n v="0"/>
    <n v="0"/>
    <n v="0"/>
    <n v="0"/>
  </r>
  <r>
    <x v="0"/>
    <x v="7"/>
    <x v="1"/>
    <s v="Økologisk"/>
    <x v="2"/>
    <s v="Majs"/>
    <n v="0"/>
    <n v="0"/>
    <n v="0"/>
    <n v="0"/>
  </r>
  <r>
    <x v="0"/>
    <x v="8"/>
    <x v="1"/>
    <s v="Økologisk"/>
    <x v="2"/>
    <s v="Frugt"/>
    <n v="0"/>
    <n v="0"/>
    <n v="0"/>
    <n v="0"/>
  </r>
  <r>
    <x v="0"/>
    <x v="9"/>
    <x v="1"/>
    <s v="Økologisk"/>
    <x v="2"/>
    <s v="Øvrige"/>
    <n v="0"/>
    <n v="0"/>
    <n v="0"/>
    <n v="0"/>
  </r>
  <r>
    <x v="0"/>
    <x v="10"/>
    <x v="1"/>
    <s v="Økologisk"/>
    <x v="2"/>
    <s v="Frø"/>
    <n v="0"/>
    <n v="0"/>
    <n v="0"/>
    <n v="0"/>
  </r>
  <r>
    <x v="0"/>
    <x v="11"/>
    <x v="1"/>
    <s v="Økologisk"/>
    <x v="2"/>
    <s v="Juletræer"/>
    <n v="0"/>
    <n v="0"/>
    <n v="0"/>
    <n v="0"/>
  </r>
  <r>
    <x v="0"/>
    <x v="12"/>
    <x v="1"/>
    <s v="Økologisk"/>
    <x v="2"/>
    <s v="Pil &amp; poppel"/>
    <n v="0"/>
    <n v="0"/>
    <n v="0"/>
    <n v="0"/>
  </r>
  <r>
    <x v="0"/>
    <x v="13"/>
    <x v="1"/>
    <s v="Økologisk"/>
    <x v="2"/>
    <s v="Græs"/>
    <n v="0"/>
    <n v="0"/>
    <n v="0"/>
    <n v="0"/>
  </r>
  <r>
    <x v="0"/>
    <x v="0"/>
    <x v="2"/>
    <s v="Økologisk"/>
    <x v="2"/>
    <s v="Korn"/>
    <n v="0"/>
    <n v="0"/>
    <n v="0"/>
    <n v="0"/>
  </r>
  <r>
    <x v="0"/>
    <x v="1"/>
    <x v="2"/>
    <s v="Økologisk"/>
    <x v="2"/>
    <s v="Bælgsæd"/>
    <n v="0"/>
    <n v="0"/>
    <n v="0"/>
    <n v="0"/>
  </r>
  <r>
    <x v="0"/>
    <x v="2"/>
    <x v="2"/>
    <s v="Økologisk"/>
    <x v="2"/>
    <s v="Raps"/>
    <n v="0"/>
    <n v="0"/>
    <n v="0"/>
    <n v="0"/>
  </r>
  <r>
    <x v="0"/>
    <x v="3"/>
    <x v="2"/>
    <s v="Økologisk"/>
    <x v="2"/>
    <s v="Græs"/>
    <n v="0"/>
    <n v="0"/>
    <n v="0"/>
    <n v="0"/>
  </r>
  <r>
    <x v="0"/>
    <x v="4"/>
    <x v="2"/>
    <s v="Økologisk"/>
    <x v="2"/>
    <s v="Grøntsager"/>
    <n v="0"/>
    <n v="0"/>
    <n v="0"/>
    <n v="0"/>
  </r>
  <r>
    <x v="0"/>
    <x v="5"/>
    <x v="2"/>
    <s v="Økologisk"/>
    <x v="2"/>
    <s v="Kartofler"/>
    <n v="0"/>
    <n v="0"/>
    <n v="0"/>
    <n v="0"/>
  </r>
  <r>
    <x v="0"/>
    <x v="6"/>
    <x v="2"/>
    <s v="Økologisk"/>
    <x v="2"/>
    <s v="Roer"/>
    <n v="0"/>
    <n v="0"/>
    <n v="0"/>
    <n v="0"/>
  </r>
  <r>
    <x v="0"/>
    <x v="7"/>
    <x v="2"/>
    <s v="Økologisk"/>
    <x v="2"/>
    <s v="Majs"/>
    <n v="0"/>
    <n v="0"/>
    <n v="0"/>
    <n v="0"/>
  </r>
  <r>
    <x v="0"/>
    <x v="8"/>
    <x v="2"/>
    <s v="Økologisk"/>
    <x v="2"/>
    <s v="Frugt"/>
    <n v="0"/>
    <n v="0"/>
    <n v="0"/>
    <n v="0"/>
  </r>
  <r>
    <x v="0"/>
    <x v="9"/>
    <x v="2"/>
    <s v="Økologisk"/>
    <x v="2"/>
    <s v="Øvrige"/>
    <n v="0"/>
    <n v="0"/>
    <n v="0"/>
    <n v="0"/>
  </r>
  <r>
    <x v="0"/>
    <x v="10"/>
    <x v="2"/>
    <s v="Økologisk"/>
    <x v="2"/>
    <s v="Frø"/>
    <n v="0"/>
    <n v="0"/>
    <n v="0"/>
    <n v="0"/>
  </r>
  <r>
    <x v="0"/>
    <x v="11"/>
    <x v="2"/>
    <s v="Økologisk"/>
    <x v="2"/>
    <s v="Juletræer"/>
    <n v="0"/>
    <n v="0"/>
    <n v="0"/>
    <n v="0"/>
  </r>
  <r>
    <x v="0"/>
    <x v="12"/>
    <x v="2"/>
    <s v="Økologisk"/>
    <x v="2"/>
    <s v="Pil &amp; poppel"/>
    <n v="0"/>
    <n v="0"/>
    <n v="0"/>
    <n v="0"/>
  </r>
  <r>
    <x v="0"/>
    <x v="13"/>
    <x v="2"/>
    <s v="Økologisk"/>
    <x v="2"/>
    <s v="Græs"/>
    <n v="0"/>
    <n v="0"/>
    <n v="0"/>
    <n v="0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149841.88011277147"/>
    <n v="1050391.579590528"/>
    <n v="340852.06757712638"/>
    <n v="340852.06757712638"/>
  </r>
  <r>
    <x v="1"/>
    <x v="1"/>
    <x v="1"/>
    <s v="Konventionel"/>
    <x v="0"/>
    <s v="Halm"/>
    <n v="3265.7793246486704"/>
    <n v="12605.908193143869"/>
    <n v="3720.6697267789841"/>
    <n v="3720.6697267789841"/>
  </r>
  <r>
    <x v="1"/>
    <x v="2"/>
    <x v="1"/>
    <s v="Konventionel"/>
    <x v="0"/>
    <s v="Halm"/>
    <n v="20716.164134757324"/>
    <n v="91151.122192932235"/>
    <n v="48401.245884447009"/>
    <n v="48401.245884447009"/>
  </r>
  <r>
    <x v="1"/>
    <x v="3"/>
    <x v="1"/>
    <s v="Konventionel"/>
    <x v="0"/>
    <s v="Græs"/>
    <n v="12585.585572688986"/>
    <n v="624496.75611682748"/>
    <n v="0"/>
    <n v="624496.75611682748"/>
  </r>
  <r>
    <x v="1"/>
    <x v="4"/>
    <x v="1"/>
    <s v="Konventionel"/>
    <x v="0"/>
    <s v="Grøntsager"/>
    <n v="1972.1645512572102"/>
    <n v="40922.414438587119"/>
    <n v="0"/>
    <n v="40922.414438587119"/>
  </r>
  <r>
    <x v="1"/>
    <x v="5"/>
    <x v="1"/>
    <s v="Konventionel"/>
    <x v="0"/>
    <s v="Kartofler"/>
    <n v="1265.1484015207616"/>
    <n v="53731.990576757424"/>
    <n v="0"/>
    <n v="53731.990576757424"/>
  </r>
  <r>
    <x v="1"/>
    <x v="6"/>
    <x v="1"/>
    <s v="Konventionel"/>
    <x v="0"/>
    <s v="Roer"/>
    <n v="3122.1791080683429"/>
    <n v="253688.70245259788"/>
    <n v="0"/>
    <n v="253688.70245259788"/>
  </r>
  <r>
    <x v="1"/>
    <x v="7"/>
    <x v="1"/>
    <s v="Konventionel"/>
    <x v="0"/>
    <s v="Majs"/>
    <n v="3719.8713198652576"/>
    <n v="165571.47244720266"/>
    <n v="0"/>
    <n v="165571.47244720266"/>
  </r>
  <r>
    <x v="1"/>
    <x v="8"/>
    <x v="1"/>
    <s v="Konventionel"/>
    <x v="0"/>
    <s v="Frugt"/>
    <n v="10895.352017639287"/>
    <n v="92501.538629757561"/>
    <n v="0"/>
    <n v="92501.538629757561"/>
  </r>
  <r>
    <x v="1"/>
    <x v="9"/>
    <x v="1"/>
    <s v="Konventionel"/>
    <x v="0"/>
    <s v="Øvrige"/>
    <n v="6180.4056844499446"/>
    <n v="184151.01863154408"/>
    <n v="0"/>
    <n v="184151.01863154408"/>
  </r>
  <r>
    <x v="1"/>
    <x v="10"/>
    <x v="1"/>
    <s v="Konventionel"/>
    <x v="0"/>
    <s v="Halm"/>
    <n v="19121.992898738237"/>
    <n v="273231.49397409742"/>
    <n v="45127.903241022243"/>
    <n v="45127.903241022243"/>
  </r>
  <r>
    <x v="1"/>
    <x v="11"/>
    <x v="1"/>
    <s v="Konventionel"/>
    <x v="0"/>
    <s v="Juletræer"/>
    <n v="1356.3029011647714"/>
    <n v="67815.145058238573"/>
    <n v="0"/>
    <n v="67815.145058238573"/>
  </r>
  <r>
    <x v="1"/>
    <x v="12"/>
    <x v="1"/>
    <s v="Konventionel"/>
    <x v="0"/>
    <s v="Pil &amp; poppel"/>
    <n v="644.6996597846429"/>
    <n v="15724.381945966901"/>
    <n v="0"/>
    <n v="15724.381945966901"/>
  </r>
  <r>
    <x v="1"/>
    <x v="13"/>
    <x v="1"/>
    <s v="Konventionel"/>
    <x v="0"/>
    <s v="Græs"/>
    <n v="16057.66871242961"/>
    <n v="221435.25154440431"/>
    <n v="0"/>
    <n v="221435.25154440431"/>
  </r>
  <r>
    <x v="1"/>
    <x v="0"/>
    <x v="2"/>
    <s v="Konventionel"/>
    <x v="0"/>
    <s v="Korn"/>
    <n v="0"/>
    <n v="0"/>
    <n v="0"/>
    <n v="0"/>
  </r>
  <r>
    <x v="1"/>
    <x v="1"/>
    <x v="2"/>
    <s v="Konventionel"/>
    <x v="0"/>
    <s v="Bælgsæd"/>
    <n v="0"/>
    <n v="0"/>
    <n v="0"/>
    <n v="0"/>
  </r>
  <r>
    <x v="1"/>
    <x v="2"/>
    <x v="2"/>
    <s v="Konventionel"/>
    <x v="0"/>
    <s v="Raps"/>
    <n v="0"/>
    <n v="0"/>
    <n v="0"/>
    <n v="0"/>
  </r>
  <r>
    <x v="1"/>
    <x v="3"/>
    <x v="2"/>
    <s v="Konventionel"/>
    <x v="0"/>
    <s v="Græs"/>
    <n v="0"/>
    <n v="0"/>
    <n v="0"/>
    <n v="0"/>
  </r>
  <r>
    <x v="1"/>
    <x v="4"/>
    <x v="2"/>
    <s v="Konventionel"/>
    <x v="0"/>
    <s v="Grøntsager"/>
    <n v="0"/>
    <n v="0"/>
    <n v="0"/>
    <n v="0"/>
  </r>
  <r>
    <x v="1"/>
    <x v="5"/>
    <x v="2"/>
    <s v="Konventionel"/>
    <x v="0"/>
    <s v="Kartofler"/>
    <n v="0"/>
    <n v="0"/>
    <n v="0"/>
    <n v="0"/>
  </r>
  <r>
    <x v="1"/>
    <x v="6"/>
    <x v="2"/>
    <s v="Konventionel"/>
    <x v="0"/>
    <s v="Roer"/>
    <n v="0"/>
    <n v="0"/>
    <n v="0"/>
    <n v="0"/>
  </r>
  <r>
    <x v="1"/>
    <x v="7"/>
    <x v="2"/>
    <s v="Konventionel"/>
    <x v="0"/>
    <s v="Majs"/>
    <n v="0"/>
    <n v="0"/>
    <n v="0"/>
    <n v="0"/>
  </r>
  <r>
    <x v="1"/>
    <x v="8"/>
    <x v="2"/>
    <s v="Konventionel"/>
    <x v="0"/>
    <s v="Frugt"/>
    <n v="0"/>
    <n v="0"/>
    <n v="0"/>
    <n v="0"/>
  </r>
  <r>
    <x v="1"/>
    <x v="9"/>
    <x v="2"/>
    <s v="Konventionel"/>
    <x v="0"/>
    <s v="Øvrige"/>
    <n v="0"/>
    <n v="0"/>
    <n v="0"/>
    <n v="0"/>
  </r>
  <r>
    <x v="1"/>
    <x v="10"/>
    <x v="2"/>
    <s v="Konventionel"/>
    <x v="0"/>
    <s v="Frø"/>
    <n v="0"/>
    <n v="0"/>
    <n v="0"/>
    <n v="0"/>
  </r>
  <r>
    <x v="1"/>
    <x v="11"/>
    <x v="2"/>
    <s v="Konventionel"/>
    <x v="0"/>
    <s v="Juletræer"/>
    <n v="0"/>
    <n v="0"/>
    <n v="0"/>
    <n v="0"/>
  </r>
  <r>
    <x v="1"/>
    <x v="12"/>
    <x v="2"/>
    <s v="Konventionel"/>
    <x v="0"/>
    <s v="Pil &amp; poppel"/>
    <n v="0"/>
    <n v="0"/>
    <n v="0"/>
    <n v="0"/>
  </r>
  <r>
    <x v="1"/>
    <x v="13"/>
    <x v="2"/>
    <s v="Konventionel"/>
    <x v="0"/>
    <s v="Græs"/>
    <n v="0"/>
    <n v="0"/>
    <n v="0"/>
    <n v="0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149841.88011277147"/>
    <n v="703762.35832565371"/>
    <n v="228370.88527667467"/>
    <n v="228370.88527667467"/>
  </r>
  <r>
    <x v="1"/>
    <x v="1"/>
    <x v="1"/>
    <s v="Økologisk"/>
    <x v="0"/>
    <s v="Halm"/>
    <n v="3265.7793246486704"/>
    <n v="7185.3676700920041"/>
    <n v="2120.7817442640203"/>
    <n v="2120.7817442640203"/>
  </r>
  <r>
    <x v="1"/>
    <x v="2"/>
    <x v="1"/>
    <s v="Økologisk"/>
    <x v="0"/>
    <s v="Halm"/>
    <n v="20716.164134757324"/>
    <n v="50133.117206112729"/>
    <n v="26620.685236445857"/>
    <n v="26620.685236445857"/>
  </r>
  <r>
    <x v="1"/>
    <x v="3"/>
    <x v="1"/>
    <s v="Økologisk"/>
    <x v="0"/>
    <s v="Græs"/>
    <n v="12585.585572688986"/>
    <n v="487107.46977112547"/>
    <n v="0"/>
    <n v="487107.46977112547"/>
  </r>
  <r>
    <x v="1"/>
    <x v="4"/>
    <x v="1"/>
    <s v="Økologisk"/>
    <x v="0"/>
    <s v="Grøntsager"/>
    <n v="1972.1645512572102"/>
    <n v="23325.776229994652"/>
    <n v="0"/>
    <n v="23325.776229994652"/>
  </r>
  <r>
    <x v="1"/>
    <x v="5"/>
    <x v="1"/>
    <s v="Økologisk"/>
    <x v="0"/>
    <s v="Kartofler"/>
    <n v="1265.1484015207616"/>
    <n v="30627.234628751728"/>
    <n v="0"/>
    <n v="30627.234628751728"/>
  </r>
  <r>
    <x v="1"/>
    <x v="6"/>
    <x v="1"/>
    <s v="Økologisk"/>
    <x v="0"/>
    <s v="Roer"/>
    <n v="3122.1791080683429"/>
    <n v="144602.56039798076"/>
    <n v="0"/>
    <n v="144602.56039798076"/>
  </r>
  <r>
    <x v="1"/>
    <x v="7"/>
    <x v="1"/>
    <s v="Økologisk"/>
    <x v="0"/>
    <s v="Majs"/>
    <n v="3719.8713198652576"/>
    <n v="137424.3221311782"/>
    <n v="0"/>
    <n v="137424.3221311782"/>
  </r>
  <r>
    <x v="1"/>
    <x v="8"/>
    <x v="1"/>
    <s v="Økologisk"/>
    <x v="0"/>
    <s v="Frugt"/>
    <n v="10895.352017639287"/>
    <n v="52725.877018961801"/>
    <n v="0"/>
    <n v="52725.877018961801"/>
  </r>
  <r>
    <x v="1"/>
    <x v="9"/>
    <x v="1"/>
    <s v="Økologisk"/>
    <x v="0"/>
    <s v="Øvrige"/>
    <n v="6180.4056844499446"/>
    <n v="104966.0806199801"/>
    <n v="0"/>
    <n v="104966.0806199801"/>
  </r>
  <r>
    <x v="1"/>
    <x v="10"/>
    <x v="1"/>
    <s v="Økologisk"/>
    <x v="0"/>
    <s v="Halm"/>
    <n v="19121.992898738237"/>
    <n v="155741.9515652355"/>
    <n v="25722.904847382677"/>
    <n v="25722.904847382677"/>
  </r>
  <r>
    <x v="1"/>
    <x v="11"/>
    <x v="1"/>
    <s v="Økologisk"/>
    <x v="0"/>
    <s v="Juletræer"/>
    <n v="1356.3029011647714"/>
    <n v="38654.632683195981"/>
    <n v="0"/>
    <n v="38654.632683195981"/>
  </r>
  <r>
    <x v="1"/>
    <x v="12"/>
    <x v="1"/>
    <s v="Økologisk"/>
    <x v="0"/>
    <s v="Pil &amp; poppel"/>
    <n v="644.6996597846429"/>
    <n v="8962.8977092011319"/>
    <n v="0"/>
    <n v="8962.8977092011319"/>
  </r>
  <r>
    <x v="1"/>
    <x v="13"/>
    <x v="1"/>
    <s v="Økologisk"/>
    <x v="0"/>
    <s v="Græs"/>
    <n v="16057.66871242961"/>
    <n v="221435.25154440431"/>
    <n v="0"/>
    <n v="221435.25154440431"/>
  </r>
  <r>
    <x v="1"/>
    <x v="0"/>
    <x v="2"/>
    <s v="Økologisk"/>
    <x v="0"/>
    <s v="Halm"/>
    <n v="239333.33810745462"/>
    <n v="1124076.8890892821"/>
    <n v="364762.95050947211"/>
    <n v="364762.95050947211"/>
  </r>
  <r>
    <x v="1"/>
    <x v="1"/>
    <x v="2"/>
    <s v="Økologisk"/>
    <x v="0"/>
    <s v="Halm"/>
    <n v="5216.2310477033061"/>
    <n v="11476.751551156813"/>
    <n v="3387.3959260926022"/>
    <n v="3387.3959260926022"/>
  </r>
  <r>
    <x v="1"/>
    <x v="2"/>
    <x v="2"/>
    <s v="Økologisk"/>
    <x v="0"/>
    <s v="Halm"/>
    <n v="33088.671280832452"/>
    <n v="80074.584499614546"/>
    <n v="42519.604369295324"/>
    <n v="42519.604369295324"/>
  </r>
  <r>
    <x v="1"/>
    <x v="3"/>
    <x v="2"/>
    <s v="Økologisk"/>
    <x v="0"/>
    <s v="Græs"/>
    <n v="20102.191756281507"/>
    <n v="778027.18885841698"/>
    <n v="0"/>
    <n v="778027.18885841698"/>
  </r>
  <r>
    <x v="1"/>
    <x v="4"/>
    <x v="2"/>
    <s v="Økologisk"/>
    <x v="0"/>
    <s v="Grøntsager"/>
    <n v="3150.0187063479598"/>
    <n v="37256.846249330491"/>
    <n v="0"/>
    <n v="37256.846249330491"/>
  </r>
  <r>
    <x v="1"/>
    <x v="5"/>
    <x v="2"/>
    <s v="Økologisk"/>
    <x v="0"/>
    <s v="Kartofler"/>
    <n v="2020.744733777979"/>
    <n v="48919.022473441408"/>
    <n v="0"/>
    <n v="48919.022473441408"/>
  </r>
  <r>
    <x v="1"/>
    <x v="6"/>
    <x v="2"/>
    <s v="Økologisk"/>
    <x v="0"/>
    <s v="Roer"/>
    <n v="4986.8671398208262"/>
    <n v="230964.89080948071"/>
    <n v="0"/>
    <n v="230964.89080948071"/>
  </r>
  <r>
    <x v="1"/>
    <x v="7"/>
    <x v="2"/>
    <s v="Økologisk"/>
    <x v="0"/>
    <s v="Majs"/>
    <n v="5941.5246234464012"/>
    <n v="219499.52662136746"/>
    <n v="0"/>
    <n v="219499.52662136746"/>
  </r>
  <r>
    <x v="1"/>
    <x v="8"/>
    <x v="2"/>
    <s v="Økologisk"/>
    <x v="0"/>
    <s v="Frugt"/>
    <n v="17402.484313964145"/>
    <n v="84215.842340566698"/>
    <n v="0"/>
    <n v="84215.842340566698"/>
  </r>
  <r>
    <x v="1"/>
    <x v="9"/>
    <x v="2"/>
    <s v="Økologisk"/>
    <x v="0"/>
    <s v="Øvrige"/>
    <n v="9871.5867833776501"/>
    <n v="167655.94801619704"/>
    <n v="0"/>
    <n v="167655.94801619704"/>
  </r>
  <r>
    <x v="1"/>
    <x v="10"/>
    <x v="2"/>
    <s v="Økologisk"/>
    <x v="0"/>
    <s v="Halm"/>
    <n v="30542.398348697665"/>
    <n v="248757.16404135228"/>
    <n v="41085.634258668091"/>
    <n v="41085.634258668091"/>
  </r>
  <r>
    <x v="1"/>
    <x v="11"/>
    <x v="2"/>
    <s v="Økologisk"/>
    <x v="0"/>
    <s v="Juletræer"/>
    <n v="2166.3402820112005"/>
    <n v="61740.698037319213"/>
    <n v="0"/>
    <n v="61740.698037319213"/>
  </r>
  <r>
    <x v="1"/>
    <x v="12"/>
    <x v="2"/>
    <s v="Økologisk"/>
    <x v="0"/>
    <s v="Pil &amp; poppel"/>
    <n v="1029.7396264440467"/>
    <n v="14315.892367636749"/>
    <n v="0"/>
    <n v="14315.892367636749"/>
  </r>
  <r>
    <x v="1"/>
    <x v="13"/>
    <x v="2"/>
    <s v="Økologisk"/>
    <x v="0"/>
    <s v="Græs"/>
    <n v="25647.939362994217"/>
    <n v="353685.0838156903"/>
    <n v="0"/>
    <n v="353685.0838156903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Korn"/>
    <n v="0"/>
    <n v="0"/>
    <n v="0"/>
    <n v="0"/>
  </r>
  <r>
    <x v="1"/>
    <x v="1"/>
    <x v="1"/>
    <s v="Konventionel"/>
    <x v="1"/>
    <s v="Bælgsæd"/>
    <n v="0"/>
    <n v="0"/>
    <n v="0"/>
    <n v="0"/>
  </r>
  <r>
    <x v="1"/>
    <x v="2"/>
    <x v="1"/>
    <s v="Konventionel"/>
    <x v="1"/>
    <s v="Raps"/>
    <n v="0"/>
    <n v="0"/>
    <n v="0"/>
    <n v="0"/>
  </r>
  <r>
    <x v="1"/>
    <x v="3"/>
    <x v="1"/>
    <s v="Konventionel"/>
    <x v="1"/>
    <s v="Græs"/>
    <n v="0"/>
    <n v="0"/>
    <n v="0"/>
    <n v="0"/>
  </r>
  <r>
    <x v="1"/>
    <x v="4"/>
    <x v="1"/>
    <s v="Konventionel"/>
    <x v="1"/>
    <s v="Grøntsager"/>
    <n v="0"/>
    <n v="0"/>
    <n v="0"/>
    <n v="0"/>
  </r>
  <r>
    <x v="1"/>
    <x v="5"/>
    <x v="1"/>
    <s v="Konventionel"/>
    <x v="1"/>
    <s v="Kartofler"/>
    <n v="0"/>
    <n v="0"/>
    <n v="0"/>
    <n v="0"/>
  </r>
  <r>
    <x v="1"/>
    <x v="6"/>
    <x v="1"/>
    <s v="Konventionel"/>
    <x v="1"/>
    <s v="Roer"/>
    <n v="0"/>
    <n v="0"/>
    <n v="0"/>
    <n v="0"/>
  </r>
  <r>
    <x v="1"/>
    <x v="7"/>
    <x v="1"/>
    <s v="Konventionel"/>
    <x v="1"/>
    <s v="Majs"/>
    <n v="0"/>
    <n v="0"/>
    <n v="0"/>
    <n v="0"/>
  </r>
  <r>
    <x v="1"/>
    <x v="8"/>
    <x v="1"/>
    <s v="Konventionel"/>
    <x v="1"/>
    <s v="Frugt"/>
    <n v="0"/>
    <n v="0"/>
    <n v="0"/>
    <n v="0"/>
  </r>
  <r>
    <x v="1"/>
    <x v="9"/>
    <x v="1"/>
    <s v="Konventionel"/>
    <x v="1"/>
    <s v="Øvrige"/>
    <n v="0"/>
    <n v="0"/>
    <n v="0"/>
    <n v="0"/>
  </r>
  <r>
    <x v="1"/>
    <x v="10"/>
    <x v="1"/>
    <s v="Konventionel"/>
    <x v="1"/>
    <s v="Frø"/>
    <n v="0"/>
    <n v="0"/>
    <n v="0"/>
    <n v="0"/>
  </r>
  <r>
    <x v="1"/>
    <x v="11"/>
    <x v="1"/>
    <s v="Konventionel"/>
    <x v="1"/>
    <s v="Juletræer"/>
    <n v="0"/>
    <n v="0"/>
    <n v="0"/>
    <n v="0"/>
  </r>
  <r>
    <x v="1"/>
    <x v="12"/>
    <x v="1"/>
    <s v="Konventionel"/>
    <x v="1"/>
    <s v="Pil &amp; poppel"/>
    <n v="0"/>
    <n v="0"/>
    <n v="0"/>
    <n v="0"/>
  </r>
  <r>
    <x v="1"/>
    <x v="13"/>
    <x v="1"/>
    <s v="Konventionel"/>
    <x v="1"/>
    <s v="Græs"/>
    <n v="0"/>
    <n v="0"/>
    <n v="0"/>
    <n v="0"/>
  </r>
  <r>
    <x v="1"/>
    <x v="0"/>
    <x v="2"/>
    <s v="Konventionel"/>
    <x v="1"/>
    <s v="Korn"/>
    <n v="0"/>
    <n v="0"/>
    <n v="0"/>
    <n v="0"/>
  </r>
  <r>
    <x v="1"/>
    <x v="1"/>
    <x v="2"/>
    <s v="Konventionel"/>
    <x v="1"/>
    <s v="Bælgsæd"/>
    <n v="0"/>
    <n v="0"/>
    <n v="0"/>
    <n v="0"/>
  </r>
  <r>
    <x v="1"/>
    <x v="2"/>
    <x v="2"/>
    <s v="Konventionel"/>
    <x v="1"/>
    <s v="Raps"/>
    <n v="0"/>
    <n v="0"/>
    <n v="0"/>
    <n v="0"/>
  </r>
  <r>
    <x v="1"/>
    <x v="3"/>
    <x v="2"/>
    <s v="Konventionel"/>
    <x v="1"/>
    <s v="Græs"/>
    <n v="0"/>
    <n v="0"/>
    <n v="0"/>
    <n v="0"/>
  </r>
  <r>
    <x v="1"/>
    <x v="4"/>
    <x v="2"/>
    <s v="Konventionel"/>
    <x v="1"/>
    <s v="Grøntsager"/>
    <n v="0"/>
    <n v="0"/>
    <n v="0"/>
    <n v="0"/>
  </r>
  <r>
    <x v="1"/>
    <x v="5"/>
    <x v="2"/>
    <s v="Konventionel"/>
    <x v="1"/>
    <s v="Kartofler"/>
    <n v="0"/>
    <n v="0"/>
    <n v="0"/>
    <n v="0"/>
  </r>
  <r>
    <x v="1"/>
    <x v="6"/>
    <x v="2"/>
    <s v="Konventionel"/>
    <x v="1"/>
    <s v="Roer"/>
    <n v="0"/>
    <n v="0"/>
    <n v="0"/>
    <n v="0"/>
  </r>
  <r>
    <x v="1"/>
    <x v="7"/>
    <x v="2"/>
    <s v="Konventionel"/>
    <x v="1"/>
    <s v="Majs"/>
    <n v="0"/>
    <n v="0"/>
    <n v="0"/>
    <n v="0"/>
  </r>
  <r>
    <x v="1"/>
    <x v="8"/>
    <x v="2"/>
    <s v="Konventionel"/>
    <x v="1"/>
    <s v="Frugt"/>
    <n v="0"/>
    <n v="0"/>
    <n v="0"/>
    <n v="0"/>
  </r>
  <r>
    <x v="1"/>
    <x v="9"/>
    <x v="2"/>
    <s v="Konventionel"/>
    <x v="1"/>
    <s v="Øvrige"/>
    <n v="0"/>
    <n v="0"/>
    <n v="0"/>
    <n v="0"/>
  </r>
  <r>
    <x v="1"/>
    <x v="10"/>
    <x v="2"/>
    <s v="Konventionel"/>
    <x v="1"/>
    <s v="Frø"/>
    <n v="0"/>
    <n v="0"/>
    <n v="0"/>
    <n v="0"/>
  </r>
  <r>
    <x v="1"/>
    <x v="11"/>
    <x v="2"/>
    <s v="Konventionel"/>
    <x v="1"/>
    <s v="Juletræer"/>
    <n v="0"/>
    <n v="0"/>
    <n v="0"/>
    <n v="0"/>
  </r>
  <r>
    <x v="1"/>
    <x v="12"/>
    <x v="2"/>
    <s v="Konventionel"/>
    <x v="1"/>
    <s v="Pil &amp; poppel"/>
    <n v="0"/>
    <n v="0"/>
    <n v="0"/>
    <n v="0"/>
  </r>
  <r>
    <x v="1"/>
    <x v="13"/>
    <x v="2"/>
    <s v="Konventionel"/>
    <x v="1"/>
    <s v="Græs"/>
    <n v="0"/>
    <n v="0"/>
    <n v="0"/>
    <n v="0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Korn"/>
    <n v="0"/>
    <n v="0"/>
    <n v="0"/>
    <n v="0"/>
  </r>
  <r>
    <x v="1"/>
    <x v="1"/>
    <x v="1"/>
    <s v="Økologisk"/>
    <x v="1"/>
    <s v="Bælgsæd"/>
    <n v="0"/>
    <n v="0"/>
    <n v="0"/>
    <n v="0"/>
  </r>
  <r>
    <x v="1"/>
    <x v="2"/>
    <x v="1"/>
    <s v="Økologisk"/>
    <x v="1"/>
    <s v="Raps"/>
    <n v="0"/>
    <n v="0"/>
    <n v="0"/>
    <n v="0"/>
  </r>
  <r>
    <x v="1"/>
    <x v="3"/>
    <x v="1"/>
    <s v="Økologisk"/>
    <x v="1"/>
    <s v="Græs"/>
    <n v="0"/>
    <n v="0"/>
    <n v="0"/>
    <n v="0"/>
  </r>
  <r>
    <x v="1"/>
    <x v="4"/>
    <x v="1"/>
    <s v="Økologisk"/>
    <x v="1"/>
    <s v="Grøntsager"/>
    <n v="0"/>
    <n v="0"/>
    <n v="0"/>
    <n v="0"/>
  </r>
  <r>
    <x v="1"/>
    <x v="5"/>
    <x v="1"/>
    <s v="Økologisk"/>
    <x v="1"/>
    <s v="Kartofler"/>
    <n v="0"/>
    <n v="0"/>
    <n v="0"/>
    <n v="0"/>
  </r>
  <r>
    <x v="1"/>
    <x v="6"/>
    <x v="1"/>
    <s v="Økologisk"/>
    <x v="1"/>
    <s v="Roer"/>
    <n v="0"/>
    <n v="0"/>
    <n v="0"/>
    <n v="0"/>
  </r>
  <r>
    <x v="1"/>
    <x v="7"/>
    <x v="1"/>
    <s v="Økologisk"/>
    <x v="1"/>
    <s v="Majs"/>
    <n v="0"/>
    <n v="0"/>
    <n v="0"/>
    <n v="0"/>
  </r>
  <r>
    <x v="1"/>
    <x v="8"/>
    <x v="1"/>
    <s v="Økologisk"/>
    <x v="1"/>
    <s v="Frugt"/>
    <n v="0"/>
    <n v="0"/>
    <n v="0"/>
    <n v="0"/>
  </r>
  <r>
    <x v="1"/>
    <x v="9"/>
    <x v="1"/>
    <s v="Økologisk"/>
    <x v="1"/>
    <s v="Øvrige"/>
    <n v="0"/>
    <n v="0"/>
    <n v="0"/>
    <n v="0"/>
  </r>
  <r>
    <x v="1"/>
    <x v="10"/>
    <x v="1"/>
    <s v="Økologisk"/>
    <x v="1"/>
    <s v="Frø"/>
    <n v="0"/>
    <n v="0"/>
    <n v="0"/>
    <n v="0"/>
  </r>
  <r>
    <x v="1"/>
    <x v="11"/>
    <x v="1"/>
    <s v="Økologisk"/>
    <x v="1"/>
    <s v="Juletræer"/>
    <n v="0"/>
    <n v="0"/>
    <n v="0"/>
    <n v="0"/>
  </r>
  <r>
    <x v="1"/>
    <x v="12"/>
    <x v="1"/>
    <s v="Økologisk"/>
    <x v="1"/>
    <s v="Pil &amp; poppel"/>
    <n v="0"/>
    <n v="0"/>
    <n v="0"/>
    <n v="0"/>
  </r>
  <r>
    <x v="1"/>
    <x v="13"/>
    <x v="1"/>
    <s v="Økologisk"/>
    <x v="1"/>
    <s v="Græs"/>
    <n v="0"/>
    <n v="0"/>
    <n v="0"/>
    <n v="0"/>
  </r>
  <r>
    <x v="1"/>
    <x v="0"/>
    <x v="2"/>
    <s v="Økologisk"/>
    <x v="1"/>
    <s v="Korn"/>
    <n v="0"/>
    <n v="0"/>
    <n v="0"/>
    <n v="0"/>
  </r>
  <r>
    <x v="1"/>
    <x v="1"/>
    <x v="2"/>
    <s v="Økologisk"/>
    <x v="1"/>
    <s v="Bælgsæd"/>
    <n v="0"/>
    <n v="0"/>
    <n v="0"/>
    <n v="0"/>
  </r>
  <r>
    <x v="1"/>
    <x v="2"/>
    <x v="2"/>
    <s v="Økologisk"/>
    <x v="1"/>
    <s v="Raps"/>
    <n v="0"/>
    <n v="0"/>
    <n v="0"/>
    <n v="0"/>
  </r>
  <r>
    <x v="1"/>
    <x v="3"/>
    <x v="2"/>
    <s v="Økologisk"/>
    <x v="1"/>
    <s v="Græs"/>
    <n v="0"/>
    <n v="0"/>
    <n v="0"/>
    <n v="0"/>
  </r>
  <r>
    <x v="1"/>
    <x v="4"/>
    <x v="2"/>
    <s v="Økologisk"/>
    <x v="1"/>
    <s v="Grøntsager"/>
    <n v="0"/>
    <n v="0"/>
    <n v="0"/>
    <n v="0"/>
  </r>
  <r>
    <x v="1"/>
    <x v="5"/>
    <x v="2"/>
    <s v="Økologisk"/>
    <x v="1"/>
    <s v="Kartofler"/>
    <n v="0"/>
    <n v="0"/>
    <n v="0"/>
    <n v="0"/>
  </r>
  <r>
    <x v="1"/>
    <x v="6"/>
    <x v="2"/>
    <s v="Økologisk"/>
    <x v="1"/>
    <s v="Roer"/>
    <n v="0"/>
    <n v="0"/>
    <n v="0"/>
    <n v="0"/>
  </r>
  <r>
    <x v="1"/>
    <x v="7"/>
    <x v="2"/>
    <s v="Økologisk"/>
    <x v="1"/>
    <s v="Majs"/>
    <n v="0"/>
    <n v="0"/>
    <n v="0"/>
    <n v="0"/>
  </r>
  <r>
    <x v="1"/>
    <x v="8"/>
    <x v="2"/>
    <s v="Økologisk"/>
    <x v="1"/>
    <s v="Frugt"/>
    <n v="0"/>
    <n v="0"/>
    <n v="0"/>
    <n v="0"/>
  </r>
  <r>
    <x v="1"/>
    <x v="9"/>
    <x v="2"/>
    <s v="Økologisk"/>
    <x v="1"/>
    <s v="Øvrige"/>
    <n v="0"/>
    <n v="0"/>
    <n v="0"/>
    <n v="0"/>
  </r>
  <r>
    <x v="1"/>
    <x v="10"/>
    <x v="2"/>
    <s v="Økologisk"/>
    <x v="1"/>
    <s v="Frø"/>
    <n v="0"/>
    <n v="0"/>
    <n v="0"/>
    <n v="0"/>
  </r>
  <r>
    <x v="1"/>
    <x v="11"/>
    <x v="2"/>
    <s v="Økologisk"/>
    <x v="1"/>
    <s v="Juletræer"/>
    <n v="0"/>
    <n v="0"/>
    <n v="0"/>
    <n v="0"/>
  </r>
  <r>
    <x v="1"/>
    <x v="12"/>
    <x v="2"/>
    <s v="Økologisk"/>
    <x v="1"/>
    <s v="Pil &amp; poppel"/>
    <n v="0"/>
    <n v="0"/>
    <n v="0"/>
    <n v="0"/>
  </r>
  <r>
    <x v="1"/>
    <x v="13"/>
    <x v="2"/>
    <s v="Økologisk"/>
    <x v="1"/>
    <s v="Græs"/>
    <n v="0"/>
    <n v="0"/>
    <n v="0"/>
    <n v="0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Korn"/>
    <n v="0"/>
    <n v="0"/>
    <n v="0"/>
    <n v="0"/>
  </r>
  <r>
    <x v="1"/>
    <x v="1"/>
    <x v="1"/>
    <s v="Konventionel"/>
    <x v="2"/>
    <s v="Bælgsæd"/>
    <n v="0"/>
    <n v="0"/>
    <n v="0"/>
    <n v="0"/>
  </r>
  <r>
    <x v="1"/>
    <x v="2"/>
    <x v="1"/>
    <s v="Konventionel"/>
    <x v="2"/>
    <s v="Raps"/>
    <n v="0"/>
    <n v="0"/>
    <n v="0"/>
    <n v="0"/>
  </r>
  <r>
    <x v="1"/>
    <x v="3"/>
    <x v="1"/>
    <s v="Konventionel"/>
    <x v="2"/>
    <s v="Græs"/>
    <n v="0"/>
    <n v="0"/>
    <n v="0"/>
    <n v="0"/>
  </r>
  <r>
    <x v="1"/>
    <x v="4"/>
    <x v="1"/>
    <s v="Konventionel"/>
    <x v="2"/>
    <s v="Grøntsager"/>
    <n v="0"/>
    <n v="0"/>
    <n v="0"/>
    <n v="0"/>
  </r>
  <r>
    <x v="1"/>
    <x v="5"/>
    <x v="1"/>
    <s v="Konventionel"/>
    <x v="2"/>
    <s v="Kartofler"/>
    <n v="0"/>
    <n v="0"/>
    <n v="0"/>
    <n v="0"/>
  </r>
  <r>
    <x v="1"/>
    <x v="6"/>
    <x v="1"/>
    <s v="Konventionel"/>
    <x v="2"/>
    <s v="Roer"/>
    <n v="0"/>
    <n v="0"/>
    <n v="0"/>
    <n v="0"/>
  </r>
  <r>
    <x v="1"/>
    <x v="7"/>
    <x v="1"/>
    <s v="Konventionel"/>
    <x v="2"/>
    <s v="Majs"/>
    <n v="0"/>
    <n v="0"/>
    <n v="0"/>
    <n v="0"/>
  </r>
  <r>
    <x v="1"/>
    <x v="8"/>
    <x v="1"/>
    <s v="Konventionel"/>
    <x v="2"/>
    <s v="Frugt"/>
    <n v="0"/>
    <n v="0"/>
    <n v="0"/>
    <n v="0"/>
  </r>
  <r>
    <x v="1"/>
    <x v="9"/>
    <x v="1"/>
    <s v="Konventionel"/>
    <x v="2"/>
    <s v="Øvrige"/>
    <n v="0"/>
    <n v="0"/>
    <n v="0"/>
    <n v="0"/>
  </r>
  <r>
    <x v="1"/>
    <x v="10"/>
    <x v="1"/>
    <s v="Konventionel"/>
    <x v="2"/>
    <s v="Frø"/>
    <n v="0"/>
    <n v="0"/>
    <n v="0"/>
    <n v="0"/>
  </r>
  <r>
    <x v="1"/>
    <x v="11"/>
    <x v="1"/>
    <s v="Konventionel"/>
    <x v="2"/>
    <s v="Juletræer"/>
    <n v="0"/>
    <n v="0"/>
    <n v="0"/>
    <n v="0"/>
  </r>
  <r>
    <x v="1"/>
    <x v="12"/>
    <x v="1"/>
    <s v="Konventionel"/>
    <x v="2"/>
    <s v="Pil &amp; poppel"/>
    <n v="0"/>
    <n v="0"/>
    <n v="0"/>
    <n v="0"/>
  </r>
  <r>
    <x v="1"/>
    <x v="13"/>
    <x v="1"/>
    <s v="Konventionel"/>
    <x v="2"/>
    <s v="Græs"/>
    <n v="0"/>
    <n v="0"/>
    <n v="0"/>
    <n v="0"/>
  </r>
  <r>
    <x v="1"/>
    <x v="0"/>
    <x v="2"/>
    <s v="Konventionel"/>
    <x v="2"/>
    <s v="Korn"/>
    <n v="0"/>
    <n v="0"/>
    <n v="0"/>
    <n v="0"/>
  </r>
  <r>
    <x v="1"/>
    <x v="1"/>
    <x v="2"/>
    <s v="Konventionel"/>
    <x v="2"/>
    <s v="Bælgsæd"/>
    <n v="0"/>
    <n v="0"/>
    <n v="0"/>
    <n v="0"/>
  </r>
  <r>
    <x v="1"/>
    <x v="2"/>
    <x v="2"/>
    <s v="Konventionel"/>
    <x v="2"/>
    <s v="Raps"/>
    <n v="0"/>
    <n v="0"/>
    <n v="0"/>
    <n v="0"/>
  </r>
  <r>
    <x v="1"/>
    <x v="3"/>
    <x v="2"/>
    <s v="Konventionel"/>
    <x v="2"/>
    <s v="Græs"/>
    <n v="0"/>
    <n v="0"/>
    <n v="0"/>
    <n v="0"/>
  </r>
  <r>
    <x v="1"/>
    <x v="4"/>
    <x v="2"/>
    <s v="Konventionel"/>
    <x v="2"/>
    <s v="Grøntsager"/>
    <n v="0"/>
    <n v="0"/>
    <n v="0"/>
    <n v="0"/>
  </r>
  <r>
    <x v="1"/>
    <x v="5"/>
    <x v="2"/>
    <s v="Konventionel"/>
    <x v="2"/>
    <s v="Kartofler"/>
    <n v="0"/>
    <n v="0"/>
    <n v="0"/>
    <n v="0"/>
  </r>
  <r>
    <x v="1"/>
    <x v="6"/>
    <x v="2"/>
    <s v="Konventionel"/>
    <x v="2"/>
    <s v="Roer"/>
    <n v="0"/>
    <n v="0"/>
    <n v="0"/>
    <n v="0"/>
  </r>
  <r>
    <x v="1"/>
    <x v="7"/>
    <x v="2"/>
    <s v="Konventionel"/>
    <x v="2"/>
    <s v="Majs"/>
    <n v="0"/>
    <n v="0"/>
    <n v="0"/>
    <n v="0"/>
  </r>
  <r>
    <x v="1"/>
    <x v="8"/>
    <x v="2"/>
    <s v="Konventionel"/>
    <x v="2"/>
    <s v="Frugt"/>
    <n v="0"/>
    <n v="0"/>
    <n v="0"/>
    <n v="0"/>
  </r>
  <r>
    <x v="1"/>
    <x v="9"/>
    <x v="2"/>
    <s v="Konventionel"/>
    <x v="2"/>
    <s v="Øvrige"/>
    <n v="0"/>
    <n v="0"/>
    <n v="0"/>
    <n v="0"/>
  </r>
  <r>
    <x v="1"/>
    <x v="10"/>
    <x v="2"/>
    <s v="Konventionel"/>
    <x v="2"/>
    <s v="Frø"/>
    <n v="0"/>
    <n v="0"/>
    <n v="0"/>
    <n v="0"/>
  </r>
  <r>
    <x v="1"/>
    <x v="11"/>
    <x v="2"/>
    <s v="Konventionel"/>
    <x v="2"/>
    <s v="Juletræer"/>
    <n v="0"/>
    <n v="0"/>
    <n v="0"/>
    <n v="0"/>
  </r>
  <r>
    <x v="1"/>
    <x v="12"/>
    <x v="2"/>
    <s v="Konventionel"/>
    <x v="2"/>
    <s v="Pil &amp; poppel"/>
    <n v="0"/>
    <n v="0"/>
    <n v="0"/>
    <n v="0"/>
  </r>
  <r>
    <x v="1"/>
    <x v="13"/>
    <x v="2"/>
    <s v="Konventionel"/>
    <x v="2"/>
    <s v="Græs"/>
    <n v="0"/>
    <n v="0"/>
    <n v="0"/>
    <n v="0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Korn"/>
    <n v="0"/>
    <n v="0"/>
    <n v="0"/>
    <n v="0"/>
  </r>
  <r>
    <x v="1"/>
    <x v="1"/>
    <x v="1"/>
    <s v="Økologisk"/>
    <x v="2"/>
    <s v="Bælgsæd"/>
    <n v="0"/>
    <n v="0"/>
    <n v="0"/>
    <n v="0"/>
  </r>
  <r>
    <x v="1"/>
    <x v="2"/>
    <x v="1"/>
    <s v="Økologisk"/>
    <x v="2"/>
    <s v="Raps"/>
    <n v="0"/>
    <n v="0"/>
    <n v="0"/>
    <n v="0"/>
  </r>
  <r>
    <x v="1"/>
    <x v="3"/>
    <x v="1"/>
    <s v="Økologisk"/>
    <x v="2"/>
    <s v="Græs"/>
    <n v="0"/>
    <n v="0"/>
    <n v="0"/>
    <n v="0"/>
  </r>
  <r>
    <x v="1"/>
    <x v="4"/>
    <x v="1"/>
    <s v="Økologisk"/>
    <x v="2"/>
    <s v="Grøntsager"/>
    <n v="0"/>
    <n v="0"/>
    <n v="0"/>
    <n v="0"/>
  </r>
  <r>
    <x v="1"/>
    <x v="5"/>
    <x v="1"/>
    <s v="Økologisk"/>
    <x v="2"/>
    <s v="Kartofler"/>
    <n v="0"/>
    <n v="0"/>
    <n v="0"/>
    <n v="0"/>
  </r>
  <r>
    <x v="1"/>
    <x v="6"/>
    <x v="1"/>
    <s v="Økologisk"/>
    <x v="2"/>
    <s v="Roer"/>
    <n v="0"/>
    <n v="0"/>
    <n v="0"/>
    <n v="0"/>
  </r>
  <r>
    <x v="1"/>
    <x v="7"/>
    <x v="1"/>
    <s v="Økologisk"/>
    <x v="2"/>
    <s v="Majs"/>
    <n v="0"/>
    <n v="0"/>
    <n v="0"/>
    <n v="0"/>
  </r>
  <r>
    <x v="1"/>
    <x v="8"/>
    <x v="1"/>
    <s v="Økologisk"/>
    <x v="2"/>
    <s v="Frugt"/>
    <n v="0"/>
    <n v="0"/>
    <n v="0"/>
    <n v="0"/>
  </r>
  <r>
    <x v="1"/>
    <x v="9"/>
    <x v="1"/>
    <s v="Økologisk"/>
    <x v="2"/>
    <s v="Øvrige"/>
    <n v="0"/>
    <n v="0"/>
    <n v="0"/>
    <n v="0"/>
  </r>
  <r>
    <x v="1"/>
    <x v="10"/>
    <x v="1"/>
    <s v="Økologisk"/>
    <x v="2"/>
    <s v="Frø"/>
    <n v="0"/>
    <n v="0"/>
    <n v="0"/>
    <n v="0"/>
  </r>
  <r>
    <x v="1"/>
    <x v="11"/>
    <x v="1"/>
    <s v="Økologisk"/>
    <x v="2"/>
    <s v="Juletræer"/>
    <n v="0"/>
    <n v="0"/>
    <n v="0"/>
    <n v="0"/>
  </r>
  <r>
    <x v="1"/>
    <x v="12"/>
    <x v="1"/>
    <s v="Økologisk"/>
    <x v="2"/>
    <s v="Pil &amp; poppel"/>
    <n v="0"/>
    <n v="0"/>
    <n v="0"/>
    <n v="0"/>
  </r>
  <r>
    <x v="1"/>
    <x v="13"/>
    <x v="1"/>
    <s v="Økologisk"/>
    <x v="2"/>
    <s v="Græs"/>
    <n v="0"/>
    <n v="0"/>
    <n v="0"/>
    <n v="0"/>
  </r>
  <r>
    <x v="1"/>
    <x v="0"/>
    <x v="2"/>
    <s v="Økologisk"/>
    <x v="2"/>
    <s v="Korn"/>
    <n v="0"/>
    <n v="0"/>
    <n v="0"/>
    <n v="0"/>
  </r>
  <r>
    <x v="1"/>
    <x v="1"/>
    <x v="2"/>
    <s v="Økologisk"/>
    <x v="2"/>
    <s v="Bælgsæd"/>
    <n v="0"/>
    <n v="0"/>
    <n v="0"/>
    <n v="0"/>
  </r>
  <r>
    <x v="1"/>
    <x v="2"/>
    <x v="2"/>
    <s v="Økologisk"/>
    <x v="2"/>
    <s v="Raps"/>
    <n v="0"/>
    <n v="0"/>
    <n v="0"/>
    <n v="0"/>
  </r>
  <r>
    <x v="1"/>
    <x v="3"/>
    <x v="2"/>
    <s v="Økologisk"/>
    <x v="2"/>
    <s v="Græs"/>
    <n v="0"/>
    <n v="0"/>
    <n v="0"/>
    <n v="0"/>
  </r>
  <r>
    <x v="1"/>
    <x v="4"/>
    <x v="2"/>
    <s v="Økologisk"/>
    <x v="2"/>
    <s v="Grøntsager"/>
    <n v="0"/>
    <n v="0"/>
    <n v="0"/>
    <n v="0"/>
  </r>
  <r>
    <x v="1"/>
    <x v="5"/>
    <x v="2"/>
    <s v="Økologisk"/>
    <x v="2"/>
    <s v="Kartofler"/>
    <n v="0"/>
    <n v="0"/>
    <n v="0"/>
    <n v="0"/>
  </r>
  <r>
    <x v="1"/>
    <x v="6"/>
    <x v="2"/>
    <s v="Økologisk"/>
    <x v="2"/>
    <s v="Roer"/>
    <n v="0"/>
    <n v="0"/>
    <n v="0"/>
    <n v="0"/>
  </r>
  <r>
    <x v="1"/>
    <x v="7"/>
    <x v="2"/>
    <s v="Økologisk"/>
    <x v="2"/>
    <s v="Majs"/>
    <n v="0"/>
    <n v="0"/>
    <n v="0"/>
    <n v="0"/>
  </r>
  <r>
    <x v="1"/>
    <x v="8"/>
    <x v="2"/>
    <s v="Økologisk"/>
    <x v="2"/>
    <s v="Frugt"/>
    <n v="0"/>
    <n v="0"/>
    <n v="0"/>
    <n v="0"/>
  </r>
  <r>
    <x v="1"/>
    <x v="9"/>
    <x v="2"/>
    <s v="Økologisk"/>
    <x v="2"/>
    <s v="Øvrige"/>
    <n v="0"/>
    <n v="0"/>
    <n v="0"/>
    <n v="0"/>
  </r>
  <r>
    <x v="1"/>
    <x v="10"/>
    <x v="2"/>
    <s v="Økologisk"/>
    <x v="2"/>
    <s v="Frø"/>
    <n v="0"/>
    <n v="0"/>
    <n v="0"/>
    <n v="0"/>
  </r>
  <r>
    <x v="1"/>
    <x v="11"/>
    <x v="2"/>
    <s v="Økologisk"/>
    <x v="2"/>
    <s v="Juletræer"/>
    <n v="0"/>
    <n v="0"/>
    <n v="0"/>
    <n v="0"/>
  </r>
  <r>
    <x v="1"/>
    <x v="12"/>
    <x v="2"/>
    <s v="Økologisk"/>
    <x v="2"/>
    <s v="Pil &amp; poppel"/>
    <n v="0"/>
    <n v="0"/>
    <n v="0"/>
    <n v="0"/>
  </r>
  <r>
    <x v="1"/>
    <x v="13"/>
    <x v="2"/>
    <s v="Økologisk"/>
    <x v="2"/>
    <s v="Græs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2167292.6710484698"/>
  </r>
  <r>
    <x v="1"/>
    <x v="0"/>
    <x v="1"/>
    <n v="1055703.8134178538"/>
  </r>
  <r>
    <x v="2"/>
    <x v="0"/>
    <x v="1"/>
    <n v="304634.88719504897"/>
  </r>
  <r>
    <x v="3"/>
    <x v="0"/>
    <x v="1"/>
    <n v="10019425.413707765"/>
  </r>
  <r>
    <x v="4"/>
    <x v="0"/>
    <x v="1"/>
    <n v="914917.20796027384"/>
  </r>
  <r>
    <x v="5"/>
    <x v="0"/>
    <x v="1"/>
    <n v="1309144.9470220618"/>
  </r>
  <r>
    <x v="6"/>
    <x v="0"/>
    <x v="1"/>
    <n v="244501.84634790485"/>
  </r>
  <r>
    <x v="7"/>
    <x v="0"/>
    <x v="1"/>
    <n v="3542262.6085471725"/>
  </r>
  <r>
    <x v="8"/>
    <x v="0"/>
    <x v="1"/>
    <n v="212870.55640082812"/>
  </r>
  <r>
    <x v="9"/>
    <x v="0"/>
    <x v="1"/>
    <n v="997813.12750469695"/>
  </r>
  <r>
    <x v="10"/>
    <x v="0"/>
    <x v="1"/>
    <n v="503348.87978942681"/>
  </r>
  <r>
    <x v="11"/>
    <x v="0"/>
    <x v="1"/>
    <n v="474846.15363376588"/>
  </r>
  <r>
    <x v="12"/>
    <x v="0"/>
    <x v="1"/>
    <n v="85201.780821949884"/>
  </r>
  <r>
    <x v="0"/>
    <x v="0"/>
    <x v="2"/>
    <n v="223399.5256268252"/>
  </r>
  <r>
    <x v="1"/>
    <x v="0"/>
    <x v="2"/>
    <n v="463084.0167324213"/>
  </r>
  <r>
    <x v="2"/>
    <x v="0"/>
    <x v="2"/>
    <n v="69105.833019649028"/>
  </r>
  <r>
    <x v="3"/>
    <x v="0"/>
    <x v="2"/>
    <n v="1484191.1539502868"/>
  </r>
  <r>
    <x v="4"/>
    <x v="0"/>
    <x v="2"/>
    <n v="520430.19403510873"/>
  </r>
  <r>
    <x v="5"/>
    <x v="0"/>
    <x v="2"/>
    <n v="303855.43881513749"/>
  </r>
  <r>
    <x v="6"/>
    <x v="0"/>
    <x v="2"/>
    <n v="56749.419521612363"/>
  </r>
  <r>
    <x v="7"/>
    <x v="0"/>
    <x v="2"/>
    <n v="678402.70281965565"/>
  </r>
  <r>
    <x v="8"/>
    <x v="0"/>
    <x v="2"/>
    <n v="95084.225804193949"/>
  </r>
  <r>
    <x v="9"/>
    <x v="0"/>
    <x v="2"/>
    <n v="231594.63465303747"/>
  </r>
  <r>
    <x v="10"/>
    <x v="0"/>
    <x v="2"/>
    <n v="116828.38870778363"/>
  </r>
  <r>
    <x v="11"/>
    <x v="0"/>
    <x v="2"/>
    <n v="110212.84290198362"/>
  </r>
  <r>
    <x v="12"/>
    <x v="0"/>
    <x v="2"/>
    <n v="19775.521846053056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1880453.021446147"/>
  </r>
  <r>
    <x v="1"/>
    <x v="1"/>
    <x v="1"/>
    <n v="21216.247725388857"/>
  </r>
  <r>
    <x v="2"/>
    <x v="1"/>
    <x v="1"/>
    <n v="151456.7046357762"/>
  </r>
  <r>
    <x v="3"/>
    <x v="1"/>
    <x v="1"/>
    <n v="1666396.9094630885"/>
  </r>
  <r>
    <x v="4"/>
    <x v="1"/>
    <x v="1"/>
    <n v="76027.405090946413"/>
  </r>
  <r>
    <x v="5"/>
    <x v="1"/>
    <x v="1"/>
    <n v="90433.089420305812"/>
  </r>
  <r>
    <x v="6"/>
    <x v="1"/>
    <x v="1"/>
    <n v="426968.23377582035"/>
  </r>
  <r>
    <x v="7"/>
    <x v="1"/>
    <x v="1"/>
    <n v="324811.4917880242"/>
  </r>
  <r>
    <x v="8"/>
    <x v="1"/>
    <x v="1"/>
    <n v="155683.78957542713"/>
  </r>
  <r>
    <x v="9"/>
    <x v="1"/>
    <x v="1"/>
    <n v="309933.53039763391"/>
  </r>
  <r>
    <x v="10"/>
    <x v="1"/>
    <x v="1"/>
    <n v="459859.53361816495"/>
  </r>
  <r>
    <x v="11"/>
    <x v="1"/>
    <x v="1"/>
    <n v="114135.60173881784"/>
  </r>
  <r>
    <x v="12"/>
    <x v="1"/>
    <x v="1"/>
    <n v="26464.763790340134"/>
  </r>
  <r>
    <x v="0"/>
    <x v="1"/>
    <x v="2"/>
    <n v="1205010.4251037105"/>
  </r>
  <r>
    <x v="1"/>
    <x v="1"/>
    <x v="2"/>
    <n v="12303.077662840105"/>
  </r>
  <r>
    <x v="2"/>
    <x v="1"/>
    <x v="2"/>
    <n v="85839.954583586805"/>
  </r>
  <r>
    <x v="3"/>
    <x v="1"/>
    <x v="2"/>
    <n v="1213195.5563066429"/>
  </r>
  <r>
    <x v="4"/>
    <x v="1"/>
    <x v="2"/>
    <n v="44087.488110293329"/>
  </r>
  <r>
    <x v="5"/>
    <x v="1"/>
    <x v="2"/>
    <n v="52441.192091529192"/>
  </r>
  <r>
    <x v="6"/>
    <x v="1"/>
    <x v="2"/>
    <n v="247594.36294776335"/>
  </r>
  <r>
    <x v="7"/>
    <x v="1"/>
    <x v="2"/>
    <n v="235303.4925381059"/>
  </r>
  <r>
    <x v="8"/>
    <x v="1"/>
    <x v="2"/>
    <n v="90279.382989087491"/>
  </r>
  <r>
    <x v="9"/>
    <x v="1"/>
    <x v="2"/>
    <n v="179727.17627336323"/>
  </r>
  <r>
    <x v="10"/>
    <x v="1"/>
    <x v="2"/>
    <n v="266667.67985232966"/>
  </r>
  <r>
    <x v="11"/>
    <x v="1"/>
    <x v="2"/>
    <n v="66186.028296006189"/>
  </r>
  <r>
    <x v="12"/>
    <x v="1"/>
    <x v="2"/>
    <n v="15346.63661810659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377245.6112004309"/>
  </r>
  <r>
    <x v="0"/>
    <x v="2"/>
    <x v="1"/>
    <s v="JB1-10"/>
    <n v="904889.98662971705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0"/>
  </r>
  <r>
    <x v="0"/>
    <x v="2"/>
    <x v="1"/>
    <s v="OC6"/>
    <n v="0"/>
  </r>
  <r>
    <x v="0"/>
    <x v="3"/>
    <x v="1"/>
    <s v="OC6"/>
    <n v="146238.5061125248"/>
  </r>
  <r>
    <x v="0"/>
    <x v="4"/>
    <x v="1"/>
    <s v="OC6"/>
    <n v="0"/>
  </r>
  <r>
    <x v="0"/>
    <x v="0"/>
    <x v="1"/>
    <s v="OC12"/>
    <n v="0"/>
  </r>
  <r>
    <x v="0"/>
    <x v="1"/>
    <x v="1"/>
    <s v="OC12"/>
    <n v="0"/>
  </r>
  <r>
    <x v="0"/>
    <x v="2"/>
    <x v="1"/>
    <s v="OC12"/>
    <n v="0"/>
  </r>
  <r>
    <x v="0"/>
    <x v="3"/>
    <x v="1"/>
    <s v="OC12"/>
    <n v="116449.1807933067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440235.92388684605"/>
  </r>
  <r>
    <x v="0"/>
    <x v="2"/>
    <x v="2"/>
    <s v="JB1-10"/>
    <n v="1841899.6739433019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0"/>
  </r>
  <r>
    <x v="0"/>
    <x v="2"/>
    <x v="2"/>
    <s v="OC6"/>
    <n v="0"/>
  </r>
  <r>
    <x v="0"/>
    <x v="3"/>
    <x v="2"/>
    <s v="OC6"/>
    <n v="146238.5061125248"/>
  </r>
  <r>
    <x v="0"/>
    <x v="4"/>
    <x v="2"/>
    <s v="OC6"/>
    <n v="0"/>
  </r>
  <r>
    <x v="0"/>
    <x v="0"/>
    <x v="2"/>
    <s v="OC12"/>
    <n v="0"/>
  </r>
  <r>
    <x v="0"/>
    <x v="1"/>
    <x v="2"/>
    <s v="OC12"/>
    <n v="0"/>
  </r>
  <r>
    <x v="0"/>
    <x v="2"/>
    <x v="2"/>
    <s v="OC12"/>
    <n v="0"/>
  </r>
  <r>
    <x v="0"/>
    <x v="3"/>
    <x v="2"/>
    <s v="OC12"/>
    <n v="116449.1807933067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01490.3887995691"/>
  </r>
  <r>
    <x v="1"/>
    <x v="2"/>
    <x v="1"/>
    <s v="JB1-10"/>
    <n v="177910.01337028283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0"/>
  </r>
  <r>
    <x v="1"/>
    <x v="2"/>
    <x v="1"/>
    <s v="OC6"/>
    <n v="0"/>
  </r>
  <r>
    <x v="1"/>
    <x v="3"/>
    <x v="1"/>
    <s v="OC6"/>
    <n v="15761.493887475173"/>
  </r>
  <r>
    <x v="1"/>
    <x v="4"/>
    <x v="1"/>
    <s v="OC6"/>
    <n v="0"/>
  </r>
  <r>
    <x v="1"/>
    <x v="0"/>
    <x v="1"/>
    <s v="OC12"/>
    <n v="0"/>
  </r>
  <r>
    <x v="1"/>
    <x v="1"/>
    <x v="1"/>
    <s v="OC12"/>
    <n v="0"/>
  </r>
  <r>
    <x v="1"/>
    <x v="2"/>
    <x v="1"/>
    <s v="OC12"/>
    <n v="0"/>
  </r>
  <r>
    <x v="1"/>
    <x v="3"/>
    <x v="1"/>
    <s v="OC12"/>
    <n v="12550.819206693192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400500.07611315406"/>
  </r>
  <r>
    <x v="1"/>
    <x v="2"/>
    <x v="2"/>
    <s v="JB1-10"/>
    <n v="278900.32605669787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0"/>
  </r>
  <r>
    <x v="1"/>
    <x v="2"/>
    <x v="2"/>
    <s v="OC6"/>
    <n v="0"/>
  </r>
  <r>
    <x v="1"/>
    <x v="3"/>
    <x v="2"/>
    <s v="OC6"/>
    <n v="15761.493887475173"/>
  </r>
  <r>
    <x v="1"/>
    <x v="4"/>
    <x v="2"/>
    <s v="OC6"/>
    <n v="0"/>
  </r>
  <r>
    <x v="1"/>
    <x v="0"/>
    <x v="2"/>
    <s v="OC12"/>
    <n v="0"/>
  </r>
  <r>
    <x v="1"/>
    <x v="1"/>
    <x v="2"/>
    <s v="OC12"/>
    <n v="0"/>
  </r>
  <r>
    <x v="1"/>
    <x v="2"/>
    <x v="2"/>
    <s v="OC12"/>
    <n v="0"/>
  </r>
  <r>
    <x v="1"/>
    <x v="3"/>
    <x v="2"/>
    <s v="OC12"/>
    <n v="12550.819206693192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60937.772024340171"/>
  </r>
  <r>
    <x v="0"/>
    <s v="Vestdanmark"/>
    <x v="4"/>
    <x v="1"/>
    <n v="30014.126519451132"/>
  </r>
  <r>
    <x v="0"/>
    <s v="Vestdanmark"/>
    <x v="5"/>
    <x v="1"/>
    <n v="108599.28184333291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17647.383299541594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0"/>
  </r>
  <r>
    <x v="0"/>
    <s v="Vestdanmark"/>
    <x v="4"/>
    <x v="2"/>
    <n v="0"/>
  </r>
  <r>
    <x v="0"/>
    <s v="Vestdanmark"/>
    <x v="5"/>
    <x v="2"/>
    <n v="225666.45924296544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0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52763.219924773963"/>
  </r>
  <r>
    <x v="0"/>
    <s v="Østdanmark"/>
    <x v="4"/>
    <x v="1"/>
    <n v="25987.85458981404"/>
  </r>
  <r>
    <x v="0"/>
    <s v="Østdanmark"/>
    <x v="5"/>
    <x v="1"/>
    <n v="94031.1337487618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15280.059234173792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0"/>
  </r>
  <r>
    <x v="0"/>
    <s v="Østdanmark"/>
    <x v="4"/>
    <x v="2"/>
    <n v="0"/>
  </r>
  <r>
    <x v="0"/>
    <s v="Østdanmark"/>
    <x v="5"/>
    <x v="2"/>
    <n v="196880.01346734638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0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2441085.3486593938"/>
  </r>
  <r>
    <x v="1"/>
    <s v="Vestdanmark"/>
    <x v="15"/>
    <x v="1"/>
    <n v="4073475.9513422842"/>
  </r>
  <r>
    <x v="1"/>
    <s v="Vestdanmark"/>
    <x v="16"/>
    <x v="1"/>
    <n v="2708.0192790862607"/>
  </r>
  <r>
    <x v="1"/>
    <s v="Vestdanmark"/>
    <x v="17"/>
    <x v="1"/>
    <n v="1480098.7941273053"/>
  </r>
  <r>
    <x v="1"/>
    <s v="Vestdanmark"/>
    <x v="18"/>
    <x v="1"/>
    <n v="0"/>
  </r>
  <r>
    <x v="1"/>
    <s v="Vestdanmark"/>
    <x v="19"/>
    <x v="1"/>
    <n v="0"/>
  </r>
  <r>
    <x v="1"/>
    <s v="Vestdanmark"/>
    <x v="20"/>
    <x v="1"/>
    <n v="948506.12254502962"/>
  </r>
  <r>
    <x v="1"/>
    <s v="Vestdanmark"/>
    <x v="21"/>
    <x v="1"/>
    <n v="189822.72976393916"/>
  </r>
  <r>
    <x v="1"/>
    <s v="Vestdanmark"/>
    <x v="22"/>
    <x v="1"/>
    <n v="0"/>
  </r>
  <r>
    <x v="1"/>
    <s v="Vestdanmark"/>
    <x v="0"/>
    <x v="1"/>
    <n v="0"/>
  </r>
  <r>
    <x v="1"/>
    <s v="Vestdanmark"/>
    <x v="23"/>
    <x v="1"/>
    <n v="0"/>
  </r>
  <r>
    <x v="1"/>
    <s v="Vestdanmark"/>
    <x v="24"/>
    <x v="1"/>
    <n v="0"/>
  </r>
  <r>
    <x v="1"/>
    <s v="Vestdanmark"/>
    <x v="25"/>
    <x v="1"/>
    <n v="0"/>
  </r>
  <r>
    <x v="1"/>
    <s v="Vestdanmark"/>
    <x v="26"/>
    <x v="1"/>
    <n v="0"/>
  </r>
  <r>
    <x v="1"/>
    <s v="Vestdanmark"/>
    <x v="27"/>
    <x v="1"/>
    <n v="0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62533.3867321281"/>
  </r>
  <r>
    <x v="1"/>
    <s v="Vestdanmark"/>
    <x v="15"/>
    <x v="2"/>
    <n v="579009.4919217953"/>
  </r>
  <r>
    <x v="1"/>
    <s v="Vestdanmark"/>
    <x v="16"/>
    <x v="2"/>
    <n v="712.10734765283848"/>
  </r>
  <r>
    <x v="1"/>
    <s v="Vestdanmark"/>
    <x v="17"/>
    <x v="2"/>
    <n v="1520643.2255533286"/>
  </r>
  <r>
    <x v="1"/>
    <s v="Vestdanmark"/>
    <x v="18"/>
    <x v="2"/>
    <n v="0"/>
  </r>
  <r>
    <x v="1"/>
    <s v="Vestdanmark"/>
    <x v="19"/>
    <x v="2"/>
    <n v="0"/>
  </r>
  <r>
    <x v="1"/>
    <s v="Vestdanmark"/>
    <x v="20"/>
    <x v="2"/>
    <n v="267858.6677775862"/>
  </r>
  <r>
    <x v="1"/>
    <s v="Vestdanmark"/>
    <x v="21"/>
    <x v="2"/>
    <n v="75929.091905575682"/>
  </r>
  <r>
    <x v="1"/>
    <s v="Vestdanmark"/>
    <x v="22"/>
    <x v="2"/>
    <n v="0"/>
  </r>
  <r>
    <x v="1"/>
    <s v="Vestdanmark"/>
    <x v="0"/>
    <x v="2"/>
    <n v="0"/>
  </r>
  <r>
    <x v="1"/>
    <s v="Vestdanmark"/>
    <x v="23"/>
    <x v="2"/>
    <n v="0"/>
  </r>
  <r>
    <x v="1"/>
    <s v="Vestdanmark"/>
    <x v="24"/>
    <x v="2"/>
    <n v="0"/>
  </r>
  <r>
    <x v="1"/>
    <s v="Vestdanmark"/>
    <x v="25"/>
    <x v="2"/>
    <n v="0"/>
  </r>
  <r>
    <x v="1"/>
    <s v="Vestdanmark"/>
    <x v="26"/>
    <x v="2"/>
    <n v="0"/>
  </r>
  <r>
    <x v="1"/>
    <s v="Vestdanmark"/>
    <x v="27"/>
    <x v="2"/>
    <n v="0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353706.22477312014"/>
  </r>
  <r>
    <x v="1"/>
    <s v="Østdanmark"/>
    <x v="15"/>
    <x v="1"/>
    <n v="289518.26973799191"/>
  </r>
  <r>
    <x v="1"/>
    <s v="Østdanmark"/>
    <x v="16"/>
    <x v="1"/>
    <n v="227.28305853027575"/>
  </r>
  <r>
    <x v="1"/>
    <s v="Østdanmark"/>
    <x v="17"/>
    <x v="1"/>
    <n v="1266309.4826732657"/>
  </r>
  <r>
    <x v="1"/>
    <s v="Østdanmark"/>
    <x v="18"/>
    <x v="1"/>
    <n v="0"/>
  </r>
  <r>
    <x v="1"/>
    <s v="Østdanmark"/>
    <x v="19"/>
    <x v="1"/>
    <n v="0"/>
  </r>
  <r>
    <x v="1"/>
    <s v="Østdanmark"/>
    <x v="20"/>
    <x v="1"/>
    <n v="132864.36527113101"/>
  </r>
  <r>
    <x v="1"/>
    <s v="Østdanmark"/>
    <x v="21"/>
    <x v="1"/>
    <n v="23299.059266414486"/>
  </r>
  <r>
    <x v="1"/>
    <s v="Østdanmark"/>
    <x v="22"/>
    <x v="1"/>
    <n v="0"/>
  </r>
  <r>
    <x v="1"/>
    <s v="Østdanmark"/>
    <x v="0"/>
    <x v="1"/>
    <n v="0"/>
  </r>
  <r>
    <x v="1"/>
    <s v="Østdanmark"/>
    <x v="23"/>
    <x v="1"/>
    <n v="0"/>
  </r>
  <r>
    <x v="1"/>
    <s v="Østdanmark"/>
    <x v="24"/>
    <x v="1"/>
    <n v="0"/>
  </r>
  <r>
    <x v="1"/>
    <s v="Østdanmark"/>
    <x v="25"/>
    <x v="1"/>
    <n v="0"/>
  </r>
  <r>
    <x v="1"/>
    <s v="Østdanmark"/>
    <x v="26"/>
    <x v="1"/>
    <n v="0"/>
  </r>
  <r>
    <x v="1"/>
    <s v="Østdanmark"/>
    <x v="27"/>
    <x v="1"/>
    <n v="0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9060.9073359297563"/>
  </r>
  <r>
    <x v="1"/>
    <s v="Østdanmark"/>
    <x v="15"/>
    <x v="2"/>
    <n v="41152.526310566187"/>
  </r>
  <r>
    <x v="1"/>
    <s v="Østdanmark"/>
    <x v="16"/>
    <x v="2"/>
    <n v="59.766906840866696"/>
  </r>
  <r>
    <x v="1"/>
    <s v="Østdanmark"/>
    <x v="17"/>
    <x v="2"/>
    <n v="1324453.0115708997"/>
  </r>
  <r>
    <x v="1"/>
    <s v="Østdanmark"/>
    <x v="18"/>
    <x v="2"/>
    <n v="0"/>
  </r>
  <r>
    <x v="1"/>
    <s v="Østdanmark"/>
    <x v="19"/>
    <x v="2"/>
    <n v="0"/>
  </r>
  <r>
    <x v="1"/>
    <s v="Østdanmark"/>
    <x v="20"/>
    <x v="2"/>
    <n v="38449.746444112672"/>
  </r>
  <r>
    <x v="1"/>
    <s v="Østdanmark"/>
    <x v="21"/>
    <x v="2"/>
    <n v="9319.623706565797"/>
  </r>
  <r>
    <x v="1"/>
    <s v="Østdanmark"/>
    <x v="22"/>
    <x v="2"/>
    <n v="0"/>
  </r>
  <r>
    <x v="1"/>
    <s v="Østdanmark"/>
    <x v="0"/>
    <x v="2"/>
    <n v="0"/>
  </r>
  <r>
    <x v="1"/>
    <s v="Østdanmark"/>
    <x v="23"/>
    <x v="2"/>
    <n v="0"/>
  </r>
  <r>
    <x v="1"/>
    <s v="Østdanmark"/>
    <x v="24"/>
    <x v="2"/>
    <n v="0"/>
  </r>
  <r>
    <x v="1"/>
    <s v="Østdanmark"/>
    <x v="25"/>
    <x v="2"/>
    <n v="0"/>
  </r>
  <r>
    <x v="1"/>
    <s v="Østdanmark"/>
    <x v="26"/>
    <x v="2"/>
    <n v="0"/>
  </r>
  <r>
    <x v="1"/>
    <s v="Østdanmark"/>
    <x v="27"/>
    <x v="2"/>
    <n v="0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2939607.6009978116"/>
  </r>
  <r>
    <x v="2"/>
    <s v="Vestdanmark"/>
    <x v="22"/>
    <x v="1"/>
    <n v="386542.94677146303"/>
  </r>
  <r>
    <x v="2"/>
    <s v="Vestdanmark"/>
    <x v="2"/>
    <x v="1"/>
    <n v="0"/>
  </r>
  <r>
    <x v="2"/>
    <s v="Vestdanmark"/>
    <x v="5"/>
    <x v="1"/>
    <n v="32249.237737595988"/>
  </r>
  <r>
    <x v="2"/>
    <s v="Vestdanmark"/>
    <x v="25"/>
    <x v="1"/>
    <n v="420583.80882781441"/>
  </r>
  <r>
    <x v="2"/>
    <s v="Vestdanmark"/>
    <x v="24"/>
    <x v="1"/>
    <n v="2828526.8932349812"/>
  </r>
  <r>
    <x v="2"/>
    <s v="Vestdanmark"/>
    <x v="28"/>
    <x v="1"/>
    <n v="107049.55304563112"/>
  </r>
  <r>
    <x v="2"/>
    <s v="Vestdanmark"/>
    <x v="7"/>
    <x v="1"/>
    <n v="4863.4037343860291"/>
  </r>
  <r>
    <x v="2"/>
    <s v="Vestdanmark"/>
    <x v="6"/>
    <x v="1"/>
    <n v="0"/>
  </r>
  <r>
    <x v="2"/>
    <s v="Vestdanmark"/>
    <x v="23"/>
    <x v="1"/>
    <n v="6118844.9546291493"/>
  </r>
  <r>
    <x v="2"/>
    <s v="Vestdanmark"/>
    <x v="29"/>
    <x v="1"/>
    <n v="757857.08683350566"/>
  </r>
  <r>
    <x v="2"/>
    <s v="Vestdanmark"/>
    <x v="30"/>
    <x v="1"/>
    <n v="0"/>
  </r>
  <r>
    <x v="2"/>
    <s v="Vestdanmark"/>
    <x v="31"/>
    <x v="1"/>
    <n v="649397.03682420007"/>
  </r>
  <r>
    <x v="2"/>
    <s v="Vestdanmark"/>
    <x v="32"/>
    <x v="1"/>
    <n v="19707.867506308663"/>
  </r>
  <r>
    <x v="2"/>
    <s v="Vestdanmark"/>
    <x v="33"/>
    <x v="1"/>
    <n v="0"/>
  </r>
  <r>
    <x v="2"/>
    <s v="Vestdanmark"/>
    <x v="0"/>
    <x v="2"/>
    <n v="587921.52019956254"/>
  </r>
  <r>
    <x v="2"/>
    <s v="Vestdanmark"/>
    <x v="22"/>
    <x v="2"/>
    <n v="77308.589354292635"/>
  </r>
  <r>
    <x v="2"/>
    <s v="Vestdanmark"/>
    <x v="2"/>
    <x v="2"/>
    <n v="0"/>
  </r>
  <r>
    <x v="2"/>
    <s v="Vestdanmark"/>
    <x v="5"/>
    <x v="2"/>
    <n v="6449.847547519199"/>
  </r>
  <r>
    <x v="2"/>
    <s v="Vestdanmark"/>
    <x v="25"/>
    <x v="2"/>
    <n v="84116.7617655629"/>
  </r>
  <r>
    <x v="2"/>
    <s v="Vestdanmark"/>
    <x v="24"/>
    <x v="2"/>
    <n v="565705.37864699645"/>
  </r>
  <r>
    <x v="2"/>
    <s v="Vestdanmark"/>
    <x v="28"/>
    <x v="2"/>
    <n v="21409.910609126229"/>
  </r>
  <r>
    <x v="2"/>
    <s v="Vestdanmark"/>
    <x v="7"/>
    <x v="2"/>
    <n v="972.68074687720616"/>
  </r>
  <r>
    <x v="2"/>
    <s v="Vestdanmark"/>
    <x v="6"/>
    <x v="2"/>
    <n v="0"/>
  </r>
  <r>
    <x v="2"/>
    <s v="Vestdanmark"/>
    <x v="23"/>
    <x v="2"/>
    <n v="1223768.9909258301"/>
  </r>
  <r>
    <x v="2"/>
    <s v="Vestdanmark"/>
    <x v="29"/>
    <x v="2"/>
    <n v="151571.41736670118"/>
  </r>
  <r>
    <x v="2"/>
    <s v="Vestdanmark"/>
    <x v="30"/>
    <x v="2"/>
    <n v="0"/>
  </r>
  <r>
    <x v="2"/>
    <s v="Vestdanmark"/>
    <x v="31"/>
    <x v="2"/>
    <n v="129879.40736484004"/>
  </r>
  <r>
    <x v="2"/>
    <s v="Vestdanmark"/>
    <x v="32"/>
    <x v="2"/>
    <n v="3941.5735012617333"/>
  </r>
  <r>
    <x v="2"/>
    <s v="Vestdanmark"/>
    <x v="33"/>
    <x v="2"/>
    <n v="0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360810.80385275168"/>
  </r>
  <r>
    <x v="2"/>
    <s v="Østdanmark"/>
    <x v="22"/>
    <x v="1"/>
    <n v="47444.724017206274"/>
  </r>
  <r>
    <x v="2"/>
    <s v="Østdanmark"/>
    <x v="2"/>
    <x v="1"/>
    <n v="0"/>
  </r>
  <r>
    <x v="2"/>
    <s v="Østdanmark"/>
    <x v="5"/>
    <x v="1"/>
    <n v="3958.3083768700485"/>
  </r>
  <r>
    <x v="2"/>
    <s v="Østdanmark"/>
    <x v="25"/>
    <x v="1"/>
    <n v="51622.938415013545"/>
  </r>
  <r>
    <x v="2"/>
    <s v="Østdanmark"/>
    <x v="24"/>
    <x v="1"/>
    <n v="347176.63055464375"/>
  </r>
  <r>
    <x v="2"/>
    <s v="Østdanmark"/>
    <x v="28"/>
    <x v="1"/>
    <n v="13139.384750999187"/>
  </r>
  <r>
    <x v="2"/>
    <s v="Østdanmark"/>
    <x v="7"/>
    <x v="1"/>
    <n v="596.93974470220587"/>
  </r>
  <r>
    <x v="2"/>
    <s v="Østdanmark"/>
    <x v="6"/>
    <x v="1"/>
    <n v="0"/>
  </r>
  <r>
    <x v="2"/>
    <s v="Østdanmark"/>
    <x v="23"/>
    <x v="1"/>
    <n v="751034.03800585715"/>
  </r>
  <r>
    <x v="2"/>
    <s v="Østdanmark"/>
    <x v="29"/>
    <x v="1"/>
    <n v="93020.246856446116"/>
  </r>
  <r>
    <x v="2"/>
    <s v="Østdanmark"/>
    <x v="30"/>
    <x v="1"/>
    <n v="0"/>
  </r>
  <r>
    <x v="2"/>
    <s v="Østdanmark"/>
    <x v="31"/>
    <x v="1"/>
    <n v="79707.736092599996"/>
  </r>
  <r>
    <x v="2"/>
    <s v="Østdanmark"/>
    <x v="32"/>
    <x v="1"/>
    <n v="2418.9662303094738"/>
  </r>
  <r>
    <x v="2"/>
    <s v="Østdanmark"/>
    <x v="33"/>
    <x v="1"/>
    <n v="0"/>
  </r>
  <r>
    <x v="2"/>
    <s v="Østdanmark"/>
    <x v="0"/>
    <x v="2"/>
    <n v="72162.160770550341"/>
  </r>
  <r>
    <x v="2"/>
    <s v="Østdanmark"/>
    <x v="22"/>
    <x v="2"/>
    <n v="9488.9448034412562"/>
  </r>
  <r>
    <x v="2"/>
    <s v="Østdanmark"/>
    <x v="2"/>
    <x v="2"/>
    <n v="0"/>
  </r>
  <r>
    <x v="2"/>
    <s v="Østdanmark"/>
    <x v="5"/>
    <x v="2"/>
    <n v="791.66167537400975"/>
  </r>
  <r>
    <x v="2"/>
    <s v="Østdanmark"/>
    <x v="25"/>
    <x v="2"/>
    <n v="10324.58768300271"/>
  </r>
  <r>
    <x v="2"/>
    <s v="Østdanmark"/>
    <x v="24"/>
    <x v="2"/>
    <n v="69435.326110928756"/>
  </r>
  <r>
    <x v="2"/>
    <s v="Østdanmark"/>
    <x v="28"/>
    <x v="2"/>
    <n v="2627.8769501998377"/>
  </r>
  <r>
    <x v="2"/>
    <s v="Østdanmark"/>
    <x v="7"/>
    <x v="2"/>
    <n v="119.38794894044119"/>
  </r>
  <r>
    <x v="2"/>
    <s v="Østdanmark"/>
    <x v="6"/>
    <x v="2"/>
    <n v="0"/>
  </r>
  <r>
    <x v="2"/>
    <s v="Østdanmark"/>
    <x v="23"/>
    <x v="2"/>
    <n v="150206.80760117146"/>
  </r>
  <r>
    <x v="2"/>
    <s v="Østdanmark"/>
    <x v="29"/>
    <x v="2"/>
    <n v="18604.049371289228"/>
  </r>
  <r>
    <x v="2"/>
    <s v="Østdanmark"/>
    <x v="30"/>
    <x v="2"/>
    <n v="0"/>
  </r>
  <r>
    <x v="2"/>
    <s v="Østdanmark"/>
    <x v="31"/>
    <x v="2"/>
    <n v="15941.547218520001"/>
  </r>
  <r>
    <x v="2"/>
    <s v="Østdanmark"/>
    <x v="32"/>
    <x v="2"/>
    <n v="483.79324606189488"/>
  </r>
  <r>
    <x v="2"/>
    <s v="Østdanmark"/>
    <x v="33"/>
    <x v="2"/>
    <n v="0"/>
  </r>
  <r>
    <x v="3"/>
    <s v="Vestdanmark"/>
    <x v="22"/>
    <x v="0"/>
    <n v="1159590.3134327475"/>
  </r>
  <r>
    <x v="3"/>
    <s v="Vestdanmark"/>
    <x v="34"/>
    <x v="0"/>
    <n v="155146.779166311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0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61943.722362786721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0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438645.83957460371"/>
  </r>
  <r>
    <x v="3"/>
    <s v="Vestdanmark"/>
    <x v="34"/>
    <x v="1"/>
    <n v="97483.163902415676"/>
  </r>
  <r>
    <x v="3"/>
    <s v="Vestdanmark"/>
    <x v="35"/>
    <x v="1"/>
    <n v="85201.780821949884"/>
  </r>
  <r>
    <x v="3"/>
    <s v="Vestdanmark"/>
    <x v="36"/>
    <x v="1"/>
    <n v="2203715.0015238998"/>
  </r>
  <r>
    <x v="3"/>
    <s v="Vestdanmark"/>
    <x v="26"/>
    <x v="1"/>
    <n v="526734.10986839118"/>
  </r>
  <r>
    <x v="3"/>
    <s v="Vestdanmark"/>
    <x v="18"/>
    <x v="1"/>
    <n v="232970.42100479943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623823.60029063176"/>
  </r>
  <r>
    <x v="3"/>
    <s v="Østdanmark"/>
    <x v="34"/>
    <x v="1"/>
    <n v="48466.145483448388"/>
  </r>
  <r>
    <x v="3"/>
    <s v="Østdanmark"/>
    <x v="35"/>
    <x v="1"/>
    <n v="26464.763790340134"/>
  </r>
  <r>
    <x v="3"/>
    <s v="Østdanmark"/>
    <x v="36"/>
    <x v="1"/>
    <n v="645037.98201828008"/>
  </r>
  <r>
    <x v="3"/>
    <s v="Østdanmark"/>
    <x v="26"/>
    <x v="1"/>
    <n v="456074.89013160887"/>
  </r>
  <r>
    <x v="3"/>
    <s v="Østdanmark"/>
    <x v="18"/>
    <x v="1"/>
    <n v="201718.39486572551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3753.18781488619"/>
  </r>
  <r>
    <x v="3"/>
    <s v="Vestdanmark"/>
    <x v="34"/>
    <x v="2"/>
    <n v="22113.866566287688"/>
  </r>
  <r>
    <x v="3"/>
    <s v="Vestdanmark"/>
    <x v="35"/>
    <x v="2"/>
    <n v="19775.521846053056"/>
  </r>
  <r>
    <x v="3"/>
    <s v="Vestdanmark"/>
    <x v="36"/>
    <x v="2"/>
    <n v="2082793.5895249988"/>
  </r>
  <r>
    <x v="3"/>
    <s v="Vestdanmark"/>
    <x v="26"/>
    <x v="2"/>
    <n v="524881.97503939818"/>
  </r>
  <r>
    <x v="3"/>
    <s v="Vestdanmark"/>
    <x v="18"/>
    <x v="2"/>
    <n v="294273.52690628928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432905.92040787602"/>
  </r>
  <r>
    <x v="3"/>
    <s v="Østdanmark"/>
    <x v="34"/>
    <x v="2"/>
    <n v="27468.785466747777"/>
  </r>
  <r>
    <x v="3"/>
    <s v="Østdanmark"/>
    <x v="35"/>
    <x v="2"/>
    <n v="15346.636618106591"/>
  </r>
  <r>
    <x v="3"/>
    <s v="Østdanmark"/>
    <x v="36"/>
    <x v="2"/>
    <n v="593911.86485397187"/>
  </r>
  <r>
    <x v="3"/>
    <s v="Østdanmark"/>
    <x v="26"/>
    <x v="2"/>
    <n v="457927.02496060182"/>
  </r>
  <r>
    <x v="3"/>
    <s v="Østdanmark"/>
    <x v="18"/>
    <x v="2"/>
    <n v="256735.432171672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2164736.0639055003"/>
  </r>
  <r>
    <x v="5"/>
    <s v="Vestdanmark"/>
    <x v="15"/>
    <x v="1"/>
    <n v="852214.04771503038"/>
  </r>
  <r>
    <x v="5"/>
    <s v="Vestdanmark"/>
    <x v="16"/>
    <x v="1"/>
    <n v="2050.3574541653115"/>
  </r>
  <r>
    <x v="5"/>
    <s v="Vestdanmark"/>
    <x v="20"/>
    <x v="1"/>
    <n v="359077.31782061834"/>
  </r>
  <r>
    <x v="5"/>
    <s v="Vestdanmark"/>
    <x v="37"/>
    <x v="1"/>
    <n v="6070268.0629610736"/>
  </r>
  <r>
    <x v="5"/>
    <s v="Vestdanmark"/>
    <x v="38"/>
    <x v="1"/>
    <n v="864168.35414458788"/>
  </r>
  <r>
    <x v="5"/>
    <s v="Vestdanmark"/>
    <x v="14"/>
    <x v="2"/>
    <n v="55454.135403962639"/>
  </r>
  <r>
    <x v="5"/>
    <s v="Vestdanmark"/>
    <x v="15"/>
    <x v="2"/>
    <n v="121134.88054679664"/>
  </r>
  <r>
    <x v="5"/>
    <s v="Vestdanmark"/>
    <x v="16"/>
    <x v="2"/>
    <n v="539.16699179429202"/>
  </r>
  <r>
    <x v="5"/>
    <s v="Vestdanmark"/>
    <x v="20"/>
    <x v="2"/>
    <n v="101403.63851580049"/>
  </r>
  <r>
    <x v="5"/>
    <s v="Vestdanmark"/>
    <x v="37"/>
    <x v="2"/>
    <n v="451110.48492467229"/>
  </r>
  <r>
    <x v="5"/>
    <s v="Vestdanmark"/>
    <x v="38"/>
    <x v="2"/>
    <n v="388055.99862344295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313664.01064786117"/>
  </r>
  <r>
    <x v="5"/>
    <s v="Østdanmark"/>
    <x v="15"/>
    <x v="1"/>
    <n v="60570.269589921976"/>
  </r>
  <r>
    <x v="5"/>
    <s v="Østdanmark"/>
    <x v="16"/>
    <x v="1"/>
    <n v="172.0857443157802"/>
  </r>
  <r>
    <x v="5"/>
    <s v="Østdanmark"/>
    <x v="20"/>
    <x v="1"/>
    <n v="50298.652566928169"/>
  </r>
  <r>
    <x v="5"/>
    <s v="Østdanmark"/>
    <x v="37"/>
    <x v="1"/>
    <n v="1372715.9166472442"/>
  </r>
  <r>
    <x v="5"/>
    <s v="Østdanmark"/>
    <x v="38"/>
    <x v="1"/>
    <n v="350478.15596621751"/>
  </r>
  <r>
    <x v="5"/>
    <s v="Østdanmark"/>
    <x v="14"/>
    <x v="2"/>
    <n v="8035.1442412961978"/>
  </r>
  <r>
    <x v="5"/>
    <s v="Østdanmark"/>
    <x v="15"/>
    <x v="2"/>
    <n v="8609.541688657926"/>
  </r>
  <r>
    <x v="5"/>
    <s v="Østdanmark"/>
    <x v="16"/>
    <x v="2"/>
    <n v="45.252086608084781"/>
  </r>
  <r>
    <x v="5"/>
    <s v="Østdanmark"/>
    <x v="20"/>
    <x v="2"/>
    <n v="14555.975439556938"/>
  </r>
  <r>
    <x v="5"/>
    <s v="Østdanmark"/>
    <x v="37"/>
    <x v="2"/>
    <n v="255996.43484911678"/>
  </r>
  <r>
    <x v="5"/>
    <s v="Østdanmark"/>
    <x v="38"/>
    <x v="2"/>
    <n v="255797.41629795096"/>
  </r>
  <r>
    <x v="6"/>
    <s v="Vestdanmark"/>
    <x v="23"/>
    <x v="0"/>
    <n v="0"/>
  </r>
  <r>
    <x v="6"/>
    <s v="Vestdanmark"/>
    <x v="23"/>
    <x v="1"/>
    <n v="3884618.233807533"/>
  </r>
  <r>
    <x v="6"/>
    <s v="Vestdanmark"/>
    <x v="23"/>
    <x v="2"/>
    <n v="776923.6467615068"/>
  </r>
  <r>
    <x v="6"/>
    <s v="Østdanmark"/>
    <x v="23"/>
    <x v="0"/>
    <n v="0"/>
  </r>
  <r>
    <x v="6"/>
    <s v="Østdanmark"/>
    <x v="23"/>
    <x v="1"/>
    <n v="476802.49130033312"/>
  </r>
  <r>
    <x v="6"/>
    <s v="Østdanmark"/>
    <x v="23"/>
    <x v="2"/>
    <n v="95360.498260066641"/>
  </r>
  <r>
    <x v="7"/>
    <s v="Vestdanmark"/>
    <x v="39"/>
    <x v="0"/>
    <n v="484833.6848947219"/>
  </r>
  <r>
    <x v="7"/>
    <s v="Vestdanmark"/>
    <x v="39"/>
    <x v="1"/>
    <n v="304634.88719504897"/>
  </r>
  <r>
    <x v="7"/>
    <s v="Vestdanmark"/>
    <x v="39"/>
    <x v="2"/>
    <n v="69105.833019649028"/>
  </r>
  <r>
    <x v="7"/>
    <s v="Østdanmark"/>
    <x v="39"/>
    <x v="0"/>
    <n v="193574.13238370849"/>
  </r>
  <r>
    <x v="7"/>
    <s v="Østdanmark"/>
    <x v="39"/>
    <x v="1"/>
    <n v="151456.7046357762"/>
  </r>
  <r>
    <x v="7"/>
    <s v="Østdanmark"/>
    <x v="39"/>
    <x v="2"/>
    <n v="85839.954583586805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54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M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9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0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0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652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M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12">
    <i>
      <x/>
    </i>
    <i>
      <x v="2"/>
    </i>
    <i>
      <x v="8"/>
    </i>
    <i>
      <x v="10"/>
    </i>
    <i>
      <x v="13"/>
    </i>
    <i>
      <x v="14"/>
    </i>
    <i>
      <x v="16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4">
      <pivotArea outline="0" collapsedLevelsAreSubtotals="1" fieldPosition="0"/>
    </format>
  </formats>
  <chartFormats count="78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6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6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6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652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H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35"/>
    </i>
    <i>
      <x v="36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5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6514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12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651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1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51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7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653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651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10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651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9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54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2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65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3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4" t="s">
        <v>293</v>
      </c>
      <c r="B1" s="334"/>
      <c r="D1" s="75" t="s">
        <v>308</v>
      </c>
    </row>
    <row r="2" spans="1:6" x14ac:dyDescent="0.25">
      <c r="A2" s="6" t="s">
        <v>0</v>
      </c>
      <c r="B2" s="231" t="s">
        <v>330</v>
      </c>
    </row>
    <row r="4" spans="1:6" ht="30" customHeight="1" thickBot="1" x14ac:dyDescent="0.3">
      <c r="A4" s="333" t="s">
        <v>292</v>
      </c>
      <c r="B4" s="333"/>
      <c r="D4" s="75"/>
    </row>
    <row r="5" spans="1:6" ht="15.75" thickTop="1" x14ac:dyDescent="0.25">
      <c r="A5" s="277" t="s">
        <v>87</v>
      </c>
      <c r="B5" s="276" t="s">
        <v>332</v>
      </c>
      <c r="D5" s="219" t="s">
        <v>44</v>
      </c>
      <c r="E5" s="220"/>
      <c r="F5" s="12"/>
    </row>
    <row r="6" spans="1:6" x14ac:dyDescent="0.25">
      <c r="A6" s="211" t="s">
        <v>85</v>
      </c>
      <c r="B6" s="212" t="s">
        <v>274</v>
      </c>
      <c r="D6" s="221" t="str" cm="1">
        <f t="array" ref="D6">[1]!Jordbund1</f>
        <v>JB1-10</v>
      </c>
      <c r="E6" s="222" t="s">
        <v>45</v>
      </c>
      <c r="F6" s="12"/>
    </row>
    <row r="7" spans="1:6" x14ac:dyDescent="0.25">
      <c r="A7" s="211"/>
      <c r="B7" s="212" t="s">
        <v>2</v>
      </c>
      <c r="D7" s="221" t="str" cm="1">
        <f t="array" ref="D7">[1]!Organ6</f>
        <v>OC6</v>
      </c>
      <c r="E7" s="222" t="s">
        <v>46</v>
      </c>
      <c r="F7" s="12"/>
    </row>
    <row r="8" spans="1:6" x14ac:dyDescent="0.25">
      <c r="A8" s="229" t="s">
        <v>93</v>
      </c>
      <c r="B8" s="212" t="s">
        <v>275</v>
      </c>
      <c r="D8" s="221" t="str" cm="1">
        <f t="array" ref="D8">[1]!Organ12</f>
        <v>OC12</v>
      </c>
      <c r="E8" s="222" t="s">
        <v>47</v>
      </c>
      <c r="F8" s="12"/>
    </row>
    <row r="9" spans="1:6" x14ac:dyDescent="0.25">
      <c r="A9" s="213" t="s">
        <v>94</v>
      </c>
      <c r="B9" s="212" t="s">
        <v>276</v>
      </c>
      <c r="D9" s="221"/>
      <c r="E9" s="222"/>
      <c r="F9" s="12"/>
    </row>
    <row r="10" spans="1:6" x14ac:dyDescent="0.25">
      <c r="A10" s="211"/>
      <c r="B10" s="212"/>
      <c r="D10" s="223" t="s">
        <v>48</v>
      </c>
      <c r="E10" s="222"/>
      <c r="F10" s="12"/>
    </row>
    <row r="11" spans="1:6" x14ac:dyDescent="0.25">
      <c r="A11" s="229" t="s">
        <v>70</v>
      </c>
      <c r="B11" s="230" t="s">
        <v>277</v>
      </c>
      <c r="D11" s="221" t="str" cm="1">
        <f t="array" ref="D11">[1]!Bebyg</f>
        <v>Bebyggelse &amp; infrastruktur</v>
      </c>
      <c r="E11" s="222"/>
      <c r="F11" s="12"/>
    </row>
    <row r="12" spans="1:6" x14ac:dyDescent="0.25">
      <c r="A12" s="211" t="s">
        <v>271</v>
      </c>
      <c r="B12" s="212" t="s">
        <v>278</v>
      </c>
      <c r="D12" s="221" t="str" cm="1">
        <f t="array" ref="D12">[1]!Afgrøder</f>
        <v>Landbrugsafgrøder</v>
      </c>
      <c r="E12" s="222"/>
      <c r="F12" s="12"/>
    </row>
    <row r="13" spans="1:6" x14ac:dyDescent="0.25">
      <c r="A13" s="211"/>
      <c r="B13" s="212"/>
      <c r="D13" s="221" t="str" cm="1">
        <f t="array" ref="D13">[1]!SkovAreal</f>
        <v>Skov</v>
      </c>
      <c r="E13" s="222"/>
      <c r="F13" s="12"/>
    </row>
    <row r="14" spans="1:6" x14ac:dyDescent="0.25">
      <c r="A14" s="229" t="s">
        <v>71</v>
      </c>
      <c r="B14" s="230" t="s">
        <v>279</v>
      </c>
      <c r="D14" s="221" t="str" cm="1">
        <f t="array" ref="D14">[1]!NaturAreal</f>
        <v>Natur</v>
      </c>
      <c r="E14" s="222"/>
      <c r="F14" s="12"/>
    </row>
    <row r="15" spans="1:6" x14ac:dyDescent="0.25">
      <c r="A15" s="211" t="s">
        <v>72</v>
      </c>
      <c r="B15" s="212" t="s">
        <v>280</v>
      </c>
      <c r="D15" s="221" t="str" cm="1">
        <f t="array" ref="D15">[1]!IKareal</f>
        <v>Ikke klassificeret</v>
      </c>
      <c r="E15" s="222"/>
      <c r="F15" s="12"/>
    </row>
    <row r="16" spans="1:6" x14ac:dyDescent="0.25">
      <c r="A16" s="211" t="s">
        <v>73</v>
      </c>
      <c r="B16" s="212"/>
      <c r="D16" s="224"/>
      <c r="E16" s="222"/>
    </row>
    <row r="17" spans="1:5" x14ac:dyDescent="0.25">
      <c r="A17" s="211" t="s">
        <v>74</v>
      </c>
      <c r="B17" s="230" t="s">
        <v>289</v>
      </c>
      <c r="D17" s="225" t="s">
        <v>95</v>
      </c>
      <c r="E17" s="222"/>
    </row>
    <row r="18" spans="1:5" x14ac:dyDescent="0.25">
      <c r="A18" s="211" t="s">
        <v>75</v>
      </c>
      <c r="B18" s="335" t="s">
        <v>294</v>
      </c>
      <c r="D18" s="221" cm="1">
        <f t="array" ref="D18">[1]!År1</f>
        <v>2019</v>
      </c>
      <c r="E18" s="222"/>
    </row>
    <row r="19" spans="1:5" x14ac:dyDescent="0.25">
      <c r="A19" s="211" t="s">
        <v>272</v>
      </c>
      <c r="B19" s="335"/>
      <c r="D19" s="221" cm="1">
        <f t="array" ref="D19">[1]!År2</f>
        <v>2030</v>
      </c>
      <c r="E19" s="222"/>
    </row>
    <row r="20" spans="1:5" ht="15.75" thickBot="1" x14ac:dyDescent="0.3">
      <c r="A20" s="211" t="s">
        <v>273</v>
      </c>
      <c r="B20" s="212"/>
      <c r="D20" s="226" cm="1">
        <f t="array" ref="D20">[1]!År3</f>
        <v>2050</v>
      </c>
      <c r="E20" s="227"/>
    </row>
    <row r="21" spans="1:5" ht="15.75" thickTop="1" x14ac:dyDescent="0.25">
      <c r="A21" s="211" t="s">
        <v>76</v>
      </c>
      <c r="B21" s="212"/>
    </row>
    <row r="22" spans="1:5" x14ac:dyDescent="0.25">
      <c r="A22" s="211"/>
      <c r="B22" s="212"/>
    </row>
    <row r="23" spans="1:5" x14ac:dyDescent="0.25">
      <c r="A23" s="278" t="s">
        <v>333</v>
      </c>
      <c r="B23" s="212"/>
    </row>
    <row r="24" spans="1:5" ht="15.75" thickBot="1" x14ac:dyDescent="0.3">
      <c r="A24" s="214" t="s">
        <v>1</v>
      </c>
      <c r="B24" s="215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abSelected="1" topLeftCell="A112" zoomScale="60" zoomScaleNormal="60" workbookViewId="0">
      <selection activeCell="P24" sqref="P24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5" t="s">
        <v>325</v>
      </c>
      <c r="B1" s="274"/>
      <c r="C1" s="336" t="s">
        <v>324</v>
      </c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</row>
    <row r="2" spans="1:17" ht="15" customHeight="1" x14ac:dyDescent="0.25">
      <c r="A2" s="274"/>
      <c r="B2" s="274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</row>
    <row r="3" spans="1:17" x14ac:dyDescent="0.25">
      <c r="A3" s="75" t="s">
        <v>326</v>
      </c>
    </row>
    <row r="123" spans="3:3" x14ac:dyDescent="0.25">
      <c r="C123" s="184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zoomScale="58" zoomScaleNormal="85" workbookViewId="0">
      <selection activeCell="C9" sqref="C9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4" width="11.42578125" style="1" bestFit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5703125" style="1" bestFit="1" customWidth="1"/>
    <col min="10" max="10" width="13.7109375" style="1" bestFit="1" customWidth="1"/>
    <col min="11" max="12" width="9.85546875" style="1" bestFit="1" customWidth="1"/>
    <col min="13" max="13" width="11.42578125" style="1" bestFit="1" customWidth="1"/>
    <col min="14" max="15" width="9.85546875" style="1" bestFit="1" customWidth="1"/>
    <col min="16" max="16" width="11.42578125" style="1" bestFit="1" customWidth="1"/>
    <col min="17" max="18" width="9.85546875" style="1" bestFit="1" customWidth="1"/>
    <col min="19" max="16384" width="9.140625" style="1"/>
  </cols>
  <sheetData>
    <row r="1" spans="1:18" x14ac:dyDescent="0.25">
      <c r="A1" s="238" t="s">
        <v>295</v>
      </c>
      <c r="B1" s="75" t="s">
        <v>326</v>
      </c>
    </row>
    <row r="2" spans="1:18" ht="42.95" customHeight="1" x14ac:dyDescent="0.25">
      <c r="A2" s="232" t="s">
        <v>307</v>
      </c>
      <c r="B2" s="25" t="s">
        <v>66</v>
      </c>
      <c r="C2" s="25">
        <f>År2</f>
        <v>2030</v>
      </c>
      <c r="D2" s="25">
        <f>År3</f>
        <v>2050</v>
      </c>
      <c r="E2" s="25" t="s">
        <v>40</v>
      </c>
      <c r="F2" s="25" t="s">
        <v>35</v>
      </c>
      <c r="G2" s="25" t="s">
        <v>36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284</v>
      </c>
      <c r="B3" s="2" t="s">
        <v>286</v>
      </c>
      <c r="C3" s="9">
        <v>7500</v>
      </c>
      <c r="D3" s="22">
        <v>7500</v>
      </c>
      <c r="E3" s="9" t="s">
        <v>41</v>
      </c>
      <c r="F3" s="111" t="s">
        <v>9</v>
      </c>
      <c r="G3" s="111" t="s">
        <v>34</v>
      </c>
      <c r="I3" s="2" t="s">
        <v>182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285</v>
      </c>
      <c r="B4" s="2" t="s">
        <v>287</v>
      </c>
      <c r="C4" s="9">
        <v>7500</v>
      </c>
      <c r="D4" s="22">
        <v>7500</v>
      </c>
      <c r="E4" s="9" t="s">
        <v>42</v>
      </c>
      <c r="F4" s="111" t="s">
        <v>9</v>
      </c>
      <c r="G4" s="111" t="s">
        <v>34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37</v>
      </c>
      <c r="B5" s="228" t="s">
        <v>290</v>
      </c>
      <c r="C5" s="9">
        <f>1900*11</f>
        <v>20900</v>
      </c>
      <c r="D5" s="9">
        <f>C5+1900*(D2-C2)</f>
        <v>58900</v>
      </c>
      <c r="E5" s="9" t="s">
        <v>291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>
        <v>70731.999999999985</v>
      </c>
      <c r="D6" s="22">
        <v>70731.999999999985</v>
      </c>
      <c r="E6" s="9" t="s">
        <v>41</v>
      </c>
      <c r="F6" s="111" t="s">
        <v>9</v>
      </c>
      <c r="G6" s="111" t="s">
        <v>34</v>
      </c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1878736</v>
      </c>
      <c r="N6" s="18">
        <f t="shared" si="1"/>
        <v>0</v>
      </c>
      <c r="O6" s="18">
        <f t="shared" si="1"/>
        <v>0</v>
      </c>
      <c r="P6" s="18">
        <f t="shared" si="1"/>
        <v>840736.00000000012</v>
      </c>
      <c r="Q6" s="18">
        <f t="shared" si="1"/>
        <v>0</v>
      </c>
      <c r="R6" s="18">
        <f t="shared" si="1"/>
        <v>0</v>
      </c>
    </row>
    <row r="7" spans="1:18" x14ac:dyDescent="0.25">
      <c r="A7" s="2"/>
      <c r="B7" s="2"/>
      <c r="C7" s="9">
        <v>93001.999999999985</v>
      </c>
      <c r="D7" s="22">
        <v>93001.999999999985</v>
      </c>
      <c r="E7" s="9" t="s">
        <v>42</v>
      </c>
      <c r="F7" s="111" t="s">
        <v>9</v>
      </c>
      <c r="G7" s="111" t="s">
        <v>34</v>
      </c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1082800</v>
      </c>
      <c r="N7" s="18">
        <f t="shared" si="2"/>
        <v>0</v>
      </c>
      <c r="O7" s="18">
        <f t="shared" si="2"/>
        <v>0</v>
      </c>
      <c r="P7" s="18">
        <f t="shared" si="2"/>
        <v>2120800</v>
      </c>
      <c r="Q7" s="18">
        <f t="shared" si="2"/>
        <v>0</v>
      </c>
      <c r="R7" s="18">
        <f t="shared" si="2"/>
        <v>0</v>
      </c>
    </row>
    <row r="8" spans="1:18" x14ac:dyDescent="0.25">
      <c r="A8" s="2"/>
      <c r="B8" s="2"/>
      <c r="C8" s="9">
        <v>500000</v>
      </c>
      <c r="D8" s="9">
        <v>1500000</v>
      </c>
      <c r="E8" s="9" t="s">
        <v>291</v>
      </c>
      <c r="F8" s="111" t="s">
        <v>9</v>
      </c>
      <c r="G8" s="111" t="s">
        <v>10</v>
      </c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161999.99999999997</v>
      </c>
      <c r="O8" s="18">
        <f t="shared" si="3"/>
        <v>128999.99999999996</v>
      </c>
      <c r="P8" s="18">
        <f t="shared" si="3"/>
        <v>360654</v>
      </c>
      <c r="Q8" s="18">
        <f t="shared" si="3"/>
        <v>161999.99999999997</v>
      </c>
      <c r="R8" s="18">
        <f t="shared" si="3"/>
        <v>128999.99999999996</v>
      </c>
    </row>
    <row r="9" spans="1:18" ht="15.75" thickBot="1" x14ac:dyDescent="0.3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25">
      <c r="A10" s="2"/>
      <c r="B10" s="2"/>
      <c r="C10" s="9"/>
      <c r="D10" s="9"/>
      <c r="E10" s="9"/>
      <c r="F10" s="111"/>
      <c r="G10" s="111"/>
      <c r="I10" s="28" t="s">
        <v>31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161999.99999999997</v>
      </c>
      <c r="O10" s="21">
        <f t="shared" si="5"/>
        <v>128999.99999999996</v>
      </c>
      <c r="P10" s="21">
        <f t="shared" si="5"/>
        <v>3979280</v>
      </c>
      <c r="Q10" s="21">
        <f t="shared" si="5"/>
        <v>161999.99999999997</v>
      </c>
      <c r="R10" s="21">
        <f t="shared" si="5"/>
        <v>128999.99999999996</v>
      </c>
    </row>
    <row r="11" spans="1:18" x14ac:dyDescent="0.25">
      <c r="A11" s="2"/>
      <c r="B11" s="2"/>
      <c r="C11" s="9"/>
      <c r="D11" s="9"/>
      <c r="E11" s="9"/>
      <c r="F11" s="111"/>
      <c r="G11" s="111"/>
    </row>
    <row r="12" spans="1:18" x14ac:dyDescent="0.25">
      <c r="A12" s="2"/>
      <c r="B12" s="2"/>
      <c r="C12" s="9"/>
      <c r="D12" s="9"/>
      <c r="E12" s="9"/>
      <c r="F12" s="111"/>
      <c r="G12" s="111"/>
    </row>
    <row r="13" spans="1:18" x14ac:dyDescent="0.25">
      <c r="A13" s="2"/>
      <c r="B13" s="2"/>
      <c r="C13" s="9"/>
      <c r="D13" s="9"/>
      <c r="E13" s="9"/>
      <c r="F13" s="111"/>
      <c r="G13" s="111"/>
    </row>
    <row r="14" spans="1:18" x14ac:dyDescent="0.25">
      <c r="A14" s="2"/>
      <c r="B14" s="2"/>
      <c r="C14" s="9"/>
      <c r="D14" s="9"/>
      <c r="E14" s="9"/>
      <c r="F14" s="111"/>
      <c r="G14" s="111"/>
    </row>
    <row r="15" spans="1:18" x14ac:dyDescent="0.25">
      <c r="A15" s="2"/>
      <c r="B15" s="2"/>
      <c r="C15" s="9"/>
      <c r="D15" s="9"/>
      <c r="E15" s="9"/>
      <c r="F15" s="111"/>
      <c r="G15" s="111"/>
    </row>
    <row r="16" spans="1:18" x14ac:dyDescent="0.25">
      <c r="A16" s="2"/>
      <c r="B16" s="2"/>
      <c r="C16" s="9"/>
      <c r="D16" s="9"/>
      <c r="E16" s="9"/>
      <c r="F16" s="111"/>
      <c r="G16" s="111"/>
    </row>
    <row r="17" spans="1:18" x14ac:dyDescent="0.25">
      <c r="A17" s="2"/>
      <c r="B17" s="2"/>
      <c r="C17" s="9"/>
      <c r="D17" s="9"/>
      <c r="E17" s="9"/>
      <c r="F17" s="111"/>
      <c r="G17" s="111"/>
    </row>
    <row r="18" spans="1:18" x14ac:dyDescent="0.25">
      <c r="D18" s="15"/>
      <c r="E18" s="15"/>
      <c r="F18" s="15"/>
      <c r="G18" s="15"/>
    </row>
    <row r="19" spans="1:18" x14ac:dyDescent="0.25">
      <c r="D19" s="15"/>
      <c r="E19" s="15"/>
      <c r="F19" s="15"/>
      <c r="G19" s="15"/>
    </row>
    <row r="20" spans="1:18" x14ac:dyDescent="0.25">
      <c r="D20" s="15"/>
      <c r="E20" s="15"/>
      <c r="F20" s="15"/>
      <c r="G20" s="15"/>
    </row>
    <row r="21" spans="1:18" x14ac:dyDescent="0.25">
      <c r="D21" s="15"/>
      <c r="E21" s="15"/>
      <c r="F21" s="15"/>
      <c r="G21" s="15"/>
    </row>
    <row r="22" spans="1:18" hidden="1" x14ac:dyDescent="0.25">
      <c r="D22" s="15"/>
      <c r="E22" s="15"/>
      <c r="F22" s="15"/>
      <c r="G22" s="15"/>
      <c r="I22" s="279"/>
      <c r="J22" s="280" t="s">
        <v>327</v>
      </c>
      <c r="K22" s="280"/>
      <c r="L22" s="280"/>
      <c r="M22" s="280"/>
      <c r="N22" s="280"/>
      <c r="O22" s="280"/>
      <c r="P22" s="280"/>
      <c r="Q22" s="279"/>
      <c r="R22" s="279"/>
    </row>
    <row r="23" spans="1:18" hidden="1" x14ac:dyDescent="0.25">
      <c r="D23" s="15"/>
      <c r="E23" s="15"/>
      <c r="F23" s="15"/>
      <c r="G23" s="15"/>
      <c r="I23" s="281" t="s">
        <v>182</v>
      </c>
      <c r="J23" s="282">
        <f>År1</f>
        <v>2019</v>
      </c>
      <c r="K23" s="282">
        <f>År1</f>
        <v>2019</v>
      </c>
      <c r="L23" s="282">
        <f>År1</f>
        <v>2019</v>
      </c>
      <c r="M23" s="282">
        <f>År2</f>
        <v>2030</v>
      </c>
      <c r="N23" s="282">
        <f>År2</f>
        <v>2030</v>
      </c>
      <c r="O23" s="282">
        <f>År2</f>
        <v>2030</v>
      </c>
      <c r="P23" s="282">
        <f>År3</f>
        <v>2050</v>
      </c>
      <c r="Q23" s="282">
        <f>År3</f>
        <v>2050</v>
      </c>
      <c r="R23" s="282">
        <f>År3</f>
        <v>2050</v>
      </c>
    </row>
    <row r="24" spans="1:18" hidden="1" x14ac:dyDescent="0.25">
      <c r="D24" s="15"/>
      <c r="E24" s="15"/>
      <c r="F24" s="15"/>
      <c r="G24" s="15"/>
      <c r="I24" s="281"/>
      <c r="J24" s="282" t="str">
        <f>Jordbund1</f>
        <v>JB1-10</v>
      </c>
      <c r="K24" s="282" t="str">
        <f>Organ6</f>
        <v>OC6</v>
      </c>
      <c r="L24" s="282" t="str">
        <f>Organ12</f>
        <v>OC12</v>
      </c>
      <c r="M24" s="282" t="str">
        <f>Jordbund1</f>
        <v>JB1-10</v>
      </c>
      <c r="N24" s="282" t="str">
        <f>Organ6</f>
        <v>OC6</v>
      </c>
      <c r="O24" s="282" t="str">
        <f>Organ12</f>
        <v>OC12</v>
      </c>
      <c r="P24" s="282" t="str">
        <f>Jordbund1</f>
        <v>JB1-10</v>
      </c>
      <c r="Q24" s="282" t="str">
        <f>Organ6</f>
        <v>OC6</v>
      </c>
      <c r="R24" s="282" t="str">
        <f>Organ12</f>
        <v>OC12</v>
      </c>
    </row>
    <row r="25" spans="1:18" hidden="1" x14ac:dyDescent="0.25">
      <c r="D25" s="15"/>
      <c r="E25" s="15"/>
      <c r="F25" s="15"/>
      <c r="G25" s="15"/>
      <c r="I25" s="283" t="str">
        <f>Bebyg</f>
        <v>Bebyggelse &amp; infrastruktur</v>
      </c>
      <c r="J25" s="289">
        <f>SUMIF([1]Arealanvendelse!$B$15:$B$22,I25,[1]Arealanvendelse!$D$15:$D$22)-SUM(K25:L25)</f>
        <v>412730</v>
      </c>
      <c r="K25" s="289"/>
      <c r="L25" s="289"/>
      <c r="M25" s="292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92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92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92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92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92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25">
      <c r="D26" s="15"/>
      <c r="E26" s="15"/>
      <c r="F26" s="15"/>
      <c r="G26" s="15"/>
      <c r="I26" s="283" t="str">
        <f>Afgrøder</f>
        <v>Landbrugsafgrøder</v>
      </c>
      <c r="J26" s="289">
        <f>SUMIF([1]Arealanvendelse!$B$15:$B$22,I26,[1]Arealanvendelse!$D$15:$D$22)-SUM(K26:L26)</f>
        <v>1847465.5978301479</v>
      </c>
      <c r="K26" s="289">
        <f>[1]Jordbundstypefordeling!$D$16*[1]Jordbundstypefordeling!$F$4</f>
        <v>90723.841613092387</v>
      </c>
      <c r="L26" s="289">
        <f>[1]Jordbundstypefordeling!$D$15*[1]Jordbundstypefordeling!$F$4</f>
        <v>70620.560556759505</v>
      </c>
      <c r="M26" s="292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1377245.6112004309</v>
      </c>
      <c r="N26" s="292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0</v>
      </c>
      <c r="O26" s="292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0</v>
      </c>
      <c r="P26" s="292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440235.92388684605</v>
      </c>
      <c r="Q26" s="292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0</v>
      </c>
      <c r="R26" s="292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0</v>
      </c>
    </row>
    <row r="27" spans="1:18" hidden="1" x14ac:dyDescent="0.25">
      <c r="D27" s="15"/>
      <c r="E27" s="15"/>
      <c r="F27" s="15"/>
      <c r="G27" s="15"/>
      <c r="I27" s="283" t="str">
        <f>SkovAreal</f>
        <v>Skov</v>
      </c>
      <c r="J27" s="289">
        <f>SUMIF([1]Arealanvendelse!$B$15:$B$22,I27,[1]Arealanvendelse!$D$15:$D$22)-SUM(K27:L27)</f>
        <v>434670</v>
      </c>
      <c r="K27" s="289"/>
      <c r="L27" s="289"/>
      <c r="M27" s="292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904889.98662971705</v>
      </c>
      <c r="N27" s="292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92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92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1841899.6739433019</v>
      </c>
      <c r="Q27" s="292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92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25">
      <c r="D28" s="15"/>
      <c r="E28" s="15"/>
      <c r="F28" s="15"/>
      <c r="G28" s="15"/>
      <c r="I28" s="283" t="str">
        <f>NaturAreal</f>
        <v>Natur</v>
      </c>
      <c r="J28" s="289">
        <f>SUMIF([1]Arealanvendelse!$B$15:$B$22,I28,[1]Arealanvendelse!$D$15:$D$22)-SUM(K28:L28)</f>
        <v>288846.71526402031</v>
      </c>
      <c r="K28" s="289">
        <f>([1]Jordbundstypefordeling!$E$16-[1]Jordbundstypefordeling!$D$16)*SUM([1]Jordbundstypefordeling!$D$3:$D$5)</f>
        <v>55514.664499432409</v>
      </c>
      <c r="L28" s="289">
        <f>([1]Jordbundstypefordeling!$E$15-[1]Jordbundstypefordeling!$D$15)*SUM([1]Jordbundstypefordeling!D3:D5)</f>
        <v>45828.620236547278</v>
      </c>
      <c r="M28" s="292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92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146238.5061125248</v>
      </c>
      <c r="O28" s="292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116449.18079330676</v>
      </c>
      <c r="P28" s="292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92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146238.5061125248</v>
      </c>
      <c r="R28" s="292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116449.18079330676</v>
      </c>
    </row>
    <row r="29" spans="1:18" ht="15.75" hidden="1" thickBot="1" x14ac:dyDescent="0.3">
      <c r="D29" s="15"/>
      <c r="E29" s="15"/>
      <c r="F29" s="15"/>
      <c r="G29" s="15"/>
      <c r="I29" s="284" t="str">
        <f>IKareal</f>
        <v>Ikke klassificeret</v>
      </c>
      <c r="J29" s="290">
        <f>SUMIF([1]Arealanvendelse!$B$15:$B$22,I29,[1]Arealanvendelse!$D$15:$D$22)-SUM(K29:L29)</f>
        <v>46640</v>
      </c>
      <c r="K29" s="290"/>
      <c r="L29" s="290"/>
      <c r="M29" s="293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93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93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93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93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93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25">
      <c r="I30" s="285" t="s">
        <v>31</v>
      </c>
      <c r="J30" s="291">
        <f t="shared" ref="J30:R30" si="6">SUM(J25:J29)</f>
        <v>3030352.3130941684</v>
      </c>
      <c r="K30" s="291">
        <f t="shared" si="6"/>
        <v>146238.5061125248</v>
      </c>
      <c r="L30" s="291">
        <f t="shared" si="6"/>
        <v>116449.18079330679</v>
      </c>
      <c r="M30" s="294">
        <f t="shared" si="6"/>
        <v>3030352.3130941684</v>
      </c>
      <c r="N30" s="294">
        <f t="shared" si="6"/>
        <v>146238.5061125248</v>
      </c>
      <c r="O30" s="294">
        <f t="shared" si="6"/>
        <v>116449.18079330676</v>
      </c>
      <c r="P30" s="294">
        <f t="shared" si="6"/>
        <v>3030352.3130941684</v>
      </c>
      <c r="Q30" s="294">
        <f t="shared" si="6"/>
        <v>146238.5061125248</v>
      </c>
      <c r="R30" s="294">
        <f t="shared" si="6"/>
        <v>116449.18079330676</v>
      </c>
    </row>
    <row r="31" spans="1:18" hidden="1" x14ac:dyDescent="0.25">
      <c r="I31" s="286"/>
      <c r="J31" s="287"/>
      <c r="K31" s="287"/>
      <c r="L31" s="287"/>
      <c r="M31" s="288"/>
      <c r="N31" s="287"/>
      <c r="O31" s="287"/>
      <c r="P31" s="287"/>
      <c r="Q31" s="287"/>
      <c r="R31" s="287"/>
    </row>
    <row r="32" spans="1:18" hidden="1" x14ac:dyDescent="0.25">
      <c r="I32" s="286"/>
      <c r="J32" s="280" t="s">
        <v>328</v>
      </c>
      <c r="K32" s="280"/>
      <c r="L32" s="280"/>
      <c r="M32" s="280"/>
      <c r="N32" s="280"/>
      <c r="O32" s="280"/>
      <c r="P32" s="280"/>
      <c r="Q32" s="280"/>
      <c r="R32" s="280"/>
    </row>
    <row r="33" spans="9:18" hidden="1" x14ac:dyDescent="0.25">
      <c r="I33" s="281" t="s">
        <v>182</v>
      </c>
      <c r="J33" s="282">
        <f>År1</f>
        <v>2019</v>
      </c>
      <c r="K33" s="282">
        <f>År1</f>
        <v>2019</v>
      </c>
      <c r="L33" s="282">
        <f>År1</f>
        <v>2019</v>
      </c>
      <c r="M33" s="282">
        <v>2030</v>
      </c>
      <c r="N33" s="282">
        <v>2030</v>
      </c>
      <c r="O33" s="282">
        <v>2030</v>
      </c>
      <c r="P33" s="282">
        <f>År3</f>
        <v>2050</v>
      </c>
      <c r="Q33" s="282">
        <f>År3</f>
        <v>2050</v>
      </c>
      <c r="R33" s="282">
        <f>År3</f>
        <v>2050</v>
      </c>
    </row>
    <row r="34" spans="9:18" hidden="1" x14ac:dyDescent="0.25">
      <c r="I34" s="281"/>
      <c r="J34" s="282" t="str">
        <f>Jordbund1</f>
        <v>JB1-10</v>
      </c>
      <c r="K34" s="282" t="str">
        <f>Organ6</f>
        <v>OC6</v>
      </c>
      <c r="L34" s="282" t="str">
        <f>Organ12</f>
        <v>OC12</v>
      </c>
      <c r="M34" s="282" t="str">
        <f>Jordbund1</f>
        <v>JB1-10</v>
      </c>
      <c r="N34" s="282" t="str">
        <f>Organ6</f>
        <v>OC6</v>
      </c>
      <c r="O34" s="282" t="str">
        <f>Organ12</f>
        <v>OC12</v>
      </c>
      <c r="P34" s="282" t="str">
        <f>Jordbund1</f>
        <v>JB1-10</v>
      </c>
      <c r="Q34" s="282" t="str">
        <f>Organ6</f>
        <v>OC6</v>
      </c>
      <c r="R34" s="282" t="str">
        <f>Organ12</f>
        <v>OC12</v>
      </c>
    </row>
    <row r="35" spans="9:18" hidden="1" x14ac:dyDescent="0.25">
      <c r="I35" s="283" t="str">
        <f>Bebyg</f>
        <v>Bebyggelse &amp; infrastruktur</v>
      </c>
      <c r="J35" s="289">
        <f>SUMIF([1]Arealanvendelse!$B$15:$B$22,I35,[1]Arealanvendelse!$E$15:$E$22)-SUM(K35:L35)</f>
        <v>178500</v>
      </c>
      <c r="K35" s="289"/>
      <c r="L35" s="289"/>
      <c r="M35" s="292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92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92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92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92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92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25">
      <c r="I36" s="283" t="str">
        <f>Afgrøder</f>
        <v>Landbrugsafgrøder</v>
      </c>
      <c r="J36" s="289">
        <f>SUMIF([1]Arealanvendelse!$B$15:$B$22,I36,[1]Arealanvendelse!$E$15:$E$22)-SUM(K36:L36)</f>
        <v>552170.40216985194</v>
      </c>
      <c r="K36" s="289">
        <f>[1]Jordbundstypefordeling!$D$16*[1]Jordbundstypefordeling!$G$4</f>
        <v>9778.158386907593</v>
      </c>
      <c r="L36" s="289">
        <f>[1]Jordbundstypefordeling!$D$15*[1]Jordbundstypefordeling!$G$4</f>
        <v>7611.4394432404806</v>
      </c>
      <c r="M36" s="292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501490.3887995691</v>
      </c>
      <c r="N36" s="292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0</v>
      </c>
      <c r="O36" s="292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0</v>
      </c>
      <c r="P36" s="292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400500.07611315406</v>
      </c>
      <c r="Q36" s="292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0</v>
      </c>
      <c r="R36" s="292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0</v>
      </c>
    </row>
    <row r="37" spans="9:18" hidden="1" x14ac:dyDescent="0.25">
      <c r="I37" s="283" t="str">
        <f>SkovAreal</f>
        <v>Skov</v>
      </c>
      <c r="J37" s="289">
        <f>SUMIF([1]Arealanvendelse!$B$15:$B$22,I37,[1]Arealanvendelse!$E$15:$E$22)-SUM(K37:L37)</f>
        <v>127230</v>
      </c>
      <c r="K37" s="289"/>
      <c r="L37" s="289"/>
      <c r="M37" s="292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177910.01337028283</v>
      </c>
      <c r="N37" s="292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92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92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278900.32605669787</v>
      </c>
      <c r="Q37" s="292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92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25">
      <c r="I38" s="283" t="str">
        <f>NaturAreal</f>
        <v>Natur</v>
      </c>
      <c r="J38" s="289">
        <f>SUMIF([1]Arealanvendelse!$B$15:$B$22,I38,[1]Arealanvendelse!$E$15:$E$22)-SUM(K38:L38)</f>
        <v>71807.284735979716</v>
      </c>
      <c r="K38" s="289">
        <f>([1]Jordbundstypefordeling!$E$16-[1]Jordbundstypefordeling!$D$16)*[1]Jordbundstypefordeling!$G$4</f>
        <v>5983.3355005675821</v>
      </c>
      <c r="L38" s="289">
        <f>([1]Jordbundstypefordeling!$E$15-[1]Jordbundstypefordeling!$D$15)*[1]Jordbundstypefordeling!$G$4</f>
        <v>4939.3797634527136</v>
      </c>
      <c r="M38" s="292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92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15761.493887475173</v>
      </c>
      <c r="O38" s="292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12550.819206693192</v>
      </c>
      <c r="P38" s="292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92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15761.493887475173</v>
      </c>
      <c r="R38" s="292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12550.819206693192</v>
      </c>
    </row>
    <row r="39" spans="9:18" ht="15.75" hidden="1" thickBot="1" x14ac:dyDescent="0.3">
      <c r="I39" s="284" t="str">
        <f>IKareal</f>
        <v>Ikke klassificeret</v>
      </c>
      <c r="J39" s="290">
        <f>SUMIF([1]Arealanvendelse!$B$15:$B$22,I39,[1]Arealanvendelse!$E$15:$E$22)-SUM(K39:L39)</f>
        <v>19220</v>
      </c>
      <c r="K39" s="290"/>
      <c r="L39" s="290"/>
      <c r="M39" s="293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93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93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93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93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93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25">
      <c r="I40" s="285" t="s">
        <v>31</v>
      </c>
      <c r="J40" s="291">
        <f t="shared" ref="J40:R40" si="7">SUM(J35:J39)</f>
        <v>948927.68690583168</v>
      </c>
      <c r="K40" s="291">
        <f t="shared" si="7"/>
        <v>15761.493887475175</v>
      </c>
      <c r="L40" s="291">
        <f t="shared" si="7"/>
        <v>12550.819206693195</v>
      </c>
      <c r="M40" s="294">
        <f t="shared" si="7"/>
        <v>948927.68690583168</v>
      </c>
      <c r="N40" s="294">
        <f t="shared" si="7"/>
        <v>15761.493887475173</v>
      </c>
      <c r="O40" s="294">
        <f t="shared" si="7"/>
        <v>12550.819206693192</v>
      </c>
      <c r="P40" s="294">
        <f t="shared" si="7"/>
        <v>948927.68690583168</v>
      </c>
      <c r="Q40" s="294">
        <f t="shared" si="7"/>
        <v>15761.493887475173</v>
      </c>
      <c r="R40" s="294">
        <f t="shared" si="7"/>
        <v>12550.819206693192</v>
      </c>
    </row>
    <row r="41" spans="9:18" hidden="1" x14ac:dyDescent="0.25"/>
  </sheetData>
  <conditionalFormatting sqref="J5:R9">
    <cfRule type="cellIs" dxfId="18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24" zoomScale="85" zoomScaleNormal="85" workbookViewId="0">
      <selection activeCell="F29" sqref="F29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37" t="s">
        <v>295</v>
      </c>
    </row>
    <row r="2" spans="1:9" ht="15.75" x14ac:dyDescent="0.25">
      <c r="A2" s="233" t="s">
        <v>68</v>
      </c>
      <c r="F2" s="12"/>
      <c r="G2" s="12"/>
    </row>
    <row r="3" spans="1:9" x14ac:dyDescent="0.25">
      <c r="B3" s="82"/>
      <c r="C3" s="83"/>
      <c r="D3" s="83"/>
      <c r="E3" s="83"/>
      <c r="F3" s="12"/>
      <c r="G3" s="74"/>
      <c r="I3" s="1"/>
    </row>
    <row r="4" spans="1:9" x14ac:dyDescent="0.25">
      <c r="B4" s="88" t="s">
        <v>38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0.5</v>
      </c>
      <c r="E5" s="8">
        <v>1</v>
      </c>
      <c r="F5" s="12"/>
      <c r="G5" s="12"/>
      <c r="I5" s="1"/>
    </row>
    <row r="6" spans="1:9" x14ac:dyDescent="0.25">
      <c r="B6" s="2" t="s">
        <v>23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0.42654946709319286</v>
      </c>
      <c r="E6" s="8">
        <f>D6+E$5-D$5</f>
        <v>0.92654946709319286</v>
      </c>
      <c r="F6" s="12" t="s">
        <v>67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0.53705823403117736</v>
      </c>
      <c r="E7" s="8">
        <f t="shared" ref="E7" si="0">D7+E$5-D$5</f>
        <v>1.0370582340311774</v>
      </c>
      <c r="F7" s="12" t="s">
        <v>67</v>
      </c>
      <c r="G7" s="12"/>
      <c r="I7" s="115">
        <f>C7+D$5-C$5</f>
        <v>0.53705823403117736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0.5287544003542094</v>
      </c>
      <c r="E8" s="8">
        <f t="shared" si="1"/>
        <v>1.0287544003542095</v>
      </c>
      <c r="F8" s="12" t="s">
        <v>67</v>
      </c>
      <c r="G8" s="12"/>
      <c r="I8" s="1"/>
    </row>
    <row r="9" spans="1:9" x14ac:dyDescent="0.25">
      <c r="B9" s="81"/>
      <c r="C9" s="13"/>
      <c r="D9" s="13"/>
      <c r="E9" s="80"/>
      <c r="F9" s="12"/>
      <c r="G9" s="12"/>
      <c r="I9" s="1"/>
    </row>
    <row r="10" spans="1:9" x14ac:dyDescent="0.25">
      <c r="B10" s="88" t="s">
        <v>32</v>
      </c>
      <c r="C10" s="84">
        <f>År2</f>
        <v>2030</v>
      </c>
      <c r="D10" s="84">
        <f>År3</f>
        <v>2050</v>
      </c>
      <c r="E10" s="13"/>
      <c r="F10" s="12"/>
      <c r="G10" s="12"/>
      <c r="I10" s="1"/>
    </row>
    <row r="11" spans="1:9" x14ac:dyDescent="0.25">
      <c r="B11" s="2" t="s">
        <v>23</v>
      </c>
      <c r="C11" s="3">
        <v>0.5</v>
      </c>
      <c r="D11" s="3">
        <v>0.1</v>
      </c>
      <c r="E11" s="12"/>
      <c r="G11" s="12"/>
      <c r="I11" s="1"/>
    </row>
    <row r="12" spans="1:9" x14ac:dyDescent="0.25">
      <c r="B12" s="2" t="s">
        <v>3</v>
      </c>
      <c r="C12" s="3">
        <v>0.5</v>
      </c>
      <c r="D12" s="3">
        <v>0.1</v>
      </c>
      <c r="E12" s="12"/>
      <c r="G12" s="12"/>
      <c r="I12" s="1"/>
    </row>
    <row r="13" spans="1:9" x14ac:dyDescent="0.25">
      <c r="B13" s="2" t="s">
        <v>4</v>
      </c>
      <c r="C13" s="3">
        <v>0.5</v>
      </c>
      <c r="D13" s="3">
        <v>0.1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88" t="s">
        <v>140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25">
      <c r="B16" s="2" t="s">
        <v>92</v>
      </c>
      <c r="C16" s="87">
        <v>1</v>
      </c>
      <c r="D16" s="3">
        <v>1</v>
      </c>
      <c r="E16" s="3">
        <v>1</v>
      </c>
      <c r="F16" s="12"/>
    </row>
    <row r="17" spans="2:11" x14ac:dyDescent="0.25">
      <c r="B17" s="2" t="s">
        <v>86</v>
      </c>
      <c r="C17" s="87">
        <v>0.59345000000000003</v>
      </c>
      <c r="D17" s="3">
        <v>0.59</v>
      </c>
      <c r="E17" s="3">
        <v>0.59</v>
      </c>
      <c r="F17" s="12" t="s">
        <v>288</v>
      </c>
    </row>
    <row r="18" spans="2:11" x14ac:dyDescent="0.25">
      <c r="B18" s="2" t="s">
        <v>147</v>
      </c>
      <c r="C18" s="87">
        <v>1</v>
      </c>
      <c r="D18" s="3">
        <v>1.0720000000000001</v>
      </c>
      <c r="E18" s="3">
        <v>1.0720000000000001</v>
      </c>
      <c r="F18" s="12"/>
      <c r="G18" s="184"/>
    </row>
    <row r="20" spans="2:11" x14ac:dyDescent="0.25">
      <c r="B20" s="339" t="s">
        <v>313</v>
      </c>
      <c r="C20" s="25" t="s">
        <v>28</v>
      </c>
      <c r="D20" s="25"/>
      <c r="E20" s="25"/>
      <c r="F20" s="25" t="s">
        <v>29</v>
      </c>
      <c r="G20" s="25"/>
      <c r="H20" s="2"/>
    </row>
    <row r="21" spans="2:11" ht="29.45" customHeight="1" x14ac:dyDescent="0.25">
      <c r="B21" s="339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0</v>
      </c>
      <c r="E26" s="10">
        <f>1%*Arealanvendelse!Q26</f>
        <v>0</v>
      </c>
      <c r="F26" s="10">
        <f>1%*Arealanvendelse!K36</f>
        <v>97.781583869075931</v>
      </c>
      <c r="G26" s="10">
        <f>1%*Arealanvendelse!N36</f>
        <v>0</v>
      </c>
      <c r="H26" s="10">
        <f>1%*Arealanvendelse!Q36</f>
        <v>0</v>
      </c>
    </row>
    <row r="27" spans="2:11" ht="15.75" thickBot="1" x14ac:dyDescent="0.3">
      <c r="B27" s="186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0</v>
      </c>
      <c r="E27" s="117">
        <f>1%*Arealanvendelse!R26</f>
        <v>0</v>
      </c>
      <c r="F27" s="241">
        <f>1%*Arealanvendelse!L36</f>
        <v>76.114394432404808</v>
      </c>
      <c r="G27" s="241">
        <f>1%*Arealanvendelse!O36</f>
        <v>0</v>
      </c>
      <c r="H27" s="241">
        <f>1%*Arealanvendelse!R36</f>
        <v>0</v>
      </c>
    </row>
    <row r="28" spans="2:11" ht="16.5" thickTop="1" thickBot="1" x14ac:dyDescent="0.3">
      <c r="B28" s="246" t="s">
        <v>283</v>
      </c>
      <c r="C28" s="247"/>
      <c r="D28" s="242">
        <f>SUM(D24:D25,G24:G25)</f>
        <v>0</v>
      </c>
      <c r="E28" s="243">
        <f>SUM(E24:E25,H24:H25)</f>
        <v>0</v>
      </c>
      <c r="F28" s="244"/>
      <c r="G28" s="245"/>
      <c r="H28" s="245"/>
    </row>
    <row r="29" spans="2:11" x14ac:dyDescent="0.25">
      <c r="B29" s="12"/>
      <c r="C29" s="119"/>
      <c r="D29" s="119"/>
      <c r="E29" s="119"/>
      <c r="F29" s="119"/>
      <c r="G29" s="119"/>
      <c r="H29" s="119"/>
    </row>
    <row r="30" spans="2:11" x14ac:dyDescent="0.25">
      <c r="B30" s="337" t="s">
        <v>296</v>
      </c>
      <c r="C30" s="25" t="s">
        <v>28</v>
      </c>
      <c r="D30" s="25"/>
      <c r="E30" s="25"/>
      <c r="F30" s="25" t="s">
        <v>29</v>
      </c>
      <c r="G30" s="25"/>
      <c r="H30" s="2"/>
      <c r="I30" s="25" t="s">
        <v>282</v>
      </c>
      <c r="J30" s="25"/>
      <c r="K30" s="12"/>
    </row>
    <row r="31" spans="2:11" x14ac:dyDescent="0.25">
      <c r="B31" s="338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6">
        <f>'[1]Afgrødefordeling - jordtype'!$G4</f>
        <v>0.52078807763652124</v>
      </c>
      <c r="D32" s="91">
        <v>-0.27</v>
      </c>
      <c r="E32" s="89">
        <v>-0.42</v>
      </c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-371856.31502411637</v>
      </c>
      <c r="J32" s="116">
        <f>E32*Arealanvendelse!$P$26+H32*Arealanvendelse!$P$36</f>
        <v>-184899.08803247532</v>
      </c>
      <c r="K32" s="12"/>
    </row>
    <row r="33" spans="2:11" x14ac:dyDescent="0.25">
      <c r="B33" s="2" t="str">
        <f>[1]Afgrødefordeling!$C3</f>
        <v>Bælgsæd</v>
      </c>
      <c r="C33" s="86">
        <f>'[1]Afgrødefordeling - jordtype'!$G5</f>
        <v>3.5982037432552356E-2</v>
      </c>
      <c r="D33" s="91">
        <v>0.2</v>
      </c>
      <c r="E33" s="89">
        <v>0.41</v>
      </c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275449.1222400862</v>
      </c>
      <c r="J33" s="116">
        <f>E33*Arealanvendelse!$P$26+H33*Arealanvendelse!$P$36</f>
        <v>180496.72879360686</v>
      </c>
      <c r="K33" s="12"/>
    </row>
    <row r="34" spans="2:11" x14ac:dyDescent="0.25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25">
      <c r="B35" s="2" t="str">
        <f>[1]Afgrødefordeling!$C5</f>
        <v>Græs</v>
      </c>
      <c r="C35" s="86">
        <f>'[1]Afgrødefordeling - jordtype'!$G7</f>
        <v>0.1153713931066581</v>
      </c>
      <c r="D35" s="91"/>
      <c r="E35" s="89">
        <v>-0.06</v>
      </c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-26414.155433210763</v>
      </c>
      <c r="K35" s="12"/>
    </row>
    <row r="36" spans="2:11" x14ac:dyDescent="0.25">
      <c r="B36" s="2" t="str">
        <f>[1]Afgrødefordeling!$C6</f>
        <v>Grøntsager</v>
      </c>
      <c r="C36" s="86">
        <f>'[1]Afgrødefordeling - jordtype'!$G8</f>
        <v>4.464610531367031E-3</v>
      </c>
      <c r="D36" s="91">
        <v>0.03</v>
      </c>
      <c r="E36" s="89">
        <v>0.08</v>
      </c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41317.368336012929</v>
      </c>
      <c r="J36" s="116">
        <f>E36*Arealanvendelse!$P$26+H36*Arealanvendelse!$P$36</f>
        <v>35218.873910947688</v>
      </c>
      <c r="K36" s="12"/>
    </row>
    <row r="37" spans="2:11" x14ac:dyDescent="0.25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25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>
        <v>-0.04</v>
      </c>
      <c r="H38" s="89">
        <v>-0.04</v>
      </c>
      <c r="I38" s="116">
        <f>D38*Arealanvendelse!$M$26+G38*Arealanvendelse!$M$36</f>
        <v>-20059.615551982766</v>
      </c>
      <c r="J38" s="116">
        <f>E38*Arealanvendelse!$P$26+H38*Arealanvendelse!$P$36</f>
        <v>-16020.003044526164</v>
      </c>
      <c r="K38" s="12"/>
    </row>
    <row r="39" spans="2:11" x14ac:dyDescent="0.25">
      <c r="B39" s="2" t="str">
        <f>[1]Afgrødefordeling!$C9</f>
        <v>Majs</v>
      </c>
      <c r="C39" s="86">
        <f>'[1]Afgrødefordeling - jordtype'!$G11</f>
        <v>8.8910930707760349E-2</v>
      </c>
      <c r="D39" s="91">
        <v>-0.03</v>
      </c>
      <c r="E39" s="89">
        <v>-0.05</v>
      </c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-41317.368336012929</v>
      </c>
      <c r="J39" s="116">
        <f>E39*Arealanvendelse!$P$26+H39*Arealanvendelse!$P$36</f>
        <v>-22011.796194342303</v>
      </c>
      <c r="K39" s="12"/>
    </row>
    <row r="40" spans="2:11" x14ac:dyDescent="0.25">
      <c r="B40" s="2" t="str">
        <f>[1]Afgrødefordeling!$C10</f>
        <v>Frugt</v>
      </c>
      <c r="C40" s="86">
        <f>'[1]Afgrødefordeling - jordtype'!$G12</f>
        <v>1.6337629108489173E-3</v>
      </c>
      <c r="D40" s="91">
        <v>0.02</v>
      </c>
      <c r="E40" s="89">
        <v>0.04</v>
      </c>
      <c r="F40" s="87">
        <f>'[1]Afgrødefordeling - jordtype'!$P12</f>
        <v>3.4518876571883301E-3</v>
      </c>
      <c r="G40" s="89">
        <v>0.04</v>
      </c>
      <c r="H40" s="89">
        <v>0.04</v>
      </c>
      <c r="I40" s="116">
        <f>D40*Arealanvendelse!$M$26+G40*Arealanvendelse!$M$36</f>
        <v>47604.527775991388</v>
      </c>
      <c r="J40" s="116">
        <f>E40*Arealanvendelse!$P$26+H40*Arealanvendelse!$P$36</f>
        <v>33629.44000000001</v>
      </c>
      <c r="K40" s="12"/>
    </row>
    <row r="41" spans="2:11" x14ac:dyDescent="0.25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25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25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25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25">
      <c r="B45" s="2" t="str">
        <f>[1]Afgrødefordeling!$C15</f>
        <v>Permanent græs</v>
      </c>
      <c r="C45" s="86">
        <f>'[1]Afgrødefordeling - jordtype'!$G17</f>
        <v>7.2650293633615873E-2</v>
      </c>
      <c r="D45" s="91">
        <v>0.05</v>
      </c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68862.280560021551</v>
      </c>
      <c r="J45" s="116">
        <f>E45*Arealanvendelse!$P$26+H45*Arealanvendelse!$P$36</f>
        <v>0</v>
      </c>
      <c r="K45" s="12"/>
    </row>
    <row r="46" spans="2:11" x14ac:dyDescent="0.25">
      <c r="B46" s="25" t="s">
        <v>315</v>
      </c>
      <c r="C46" s="87"/>
      <c r="D46" s="90">
        <f t="shared" ref="D46:H46" si="2">SUM(D32:D45)</f>
        <v>0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25">
      <c r="B47" s="25" t="s">
        <v>256</v>
      </c>
      <c r="C47" s="87"/>
      <c r="D47" s="116">
        <f>SUMIF(D32:D45,"&gt;0")*Arealanvendelse!M26</f>
        <v>413173.68336012925</v>
      </c>
      <c r="E47" s="116">
        <f>SUMIF(E32:E45,"&gt;0")*Arealanvendelse!P26</f>
        <v>233325.03966002841</v>
      </c>
      <c r="F47" s="87"/>
      <c r="G47" s="116">
        <f>SUMIF(G32:G45,"&gt;0")*Arealanvendelse!M36</f>
        <v>20059.615551982766</v>
      </c>
      <c r="H47" s="116">
        <f>SUMIF(H32:H45,"&gt;0")*Arealanvendelse!P36</f>
        <v>16020.003044526164</v>
      </c>
      <c r="I47" s="218">
        <f>SUMIF(I32:I45,"&gt;0")</f>
        <v>433233.29891211202</v>
      </c>
      <c r="J47" s="218">
        <f>SUMIF(J32:J45,"&gt;0")</f>
        <v>249345.04270455457</v>
      </c>
      <c r="K47" s="12"/>
    </row>
    <row r="48" spans="2:11" x14ac:dyDescent="0.25">
      <c r="B48" s="25" t="s">
        <v>255</v>
      </c>
      <c r="C48" s="110"/>
      <c r="D48" s="116">
        <f>1%*Arealanvendelse!M26</f>
        <v>13772.456112004309</v>
      </c>
      <c r="E48" s="116">
        <f>1%*Arealanvendelse!P26</f>
        <v>4402.359238868461</v>
      </c>
      <c r="F48" s="110"/>
      <c r="G48" s="116">
        <f>1%*Arealanvendelse!M36</f>
        <v>5014.9038879956915</v>
      </c>
      <c r="H48" s="116">
        <f>1%*Arealanvendelse!P36</f>
        <v>4005.0007611315409</v>
      </c>
      <c r="I48" s="110"/>
      <c r="J48" s="110"/>
    </row>
    <row r="49" spans="2:8" x14ac:dyDescent="0.25">
      <c r="B49" s="12"/>
      <c r="D49" s="119"/>
      <c r="E49" s="119"/>
      <c r="H49" s="119"/>
    </row>
    <row r="50" spans="2:8" ht="15" customHeight="1" x14ac:dyDescent="0.25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25">
      <c r="B51" s="113" t="s">
        <v>157</v>
      </c>
      <c r="C51" s="114">
        <f>786/121381</f>
        <v>6.475478040220463E-3</v>
      </c>
      <c r="D51" s="217">
        <f>C51</f>
        <v>6.475478040220463E-3</v>
      </c>
      <c r="E51" s="217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topLeftCell="A20" workbookViewId="0">
      <selection activeCell="F33" sqref="F33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56" t="s">
        <v>295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138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5" t="s">
        <v>218</v>
      </c>
    </row>
    <row r="4" spans="1:6" x14ac:dyDescent="0.25">
      <c r="A4" s="2" t="s">
        <v>139</v>
      </c>
      <c r="B4" s="257"/>
      <c r="C4" s="257"/>
      <c r="D4" s="257"/>
    </row>
    <row r="5" spans="1:6" x14ac:dyDescent="0.25">
      <c r="A5" s="2" t="str">
        <f>'[1]Processer - data'!$D418</f>
        <v>Korn</v>
      </c>
      <c r="B5" s="7"/>
      <c r="C5" s="216"/>
      <c r="D5" s="216"/>
    </row>
    <row r="6" spans="1:6" x14ac:dyDescent="0.25">
      <c r="A6" s="2" t="str">
        <f>'[1]Processer - data'!$D419</f>
        <v>Halm</v>
      </c>
      <c r="B6" s="7"/>
      <c r="C6" s="216"/>
      <c r="D6" s="216"/>
    </row>
    <row r="7" spans="1:6" x14ac:dyDescent="0.25">
      <c r="A7" s="2" t="str">
        <f>'[1]Processer - data'!$D420</f>
        <v>Kartofler</v>
      </c>
      <c r="B7" s="7"/>
      <c r="C7" s="216"/>
      <c r="D7" s="216"/>
    </row>
    <row r="8" spans="1:6" x14ac:dyDescent="0.25">
      <c r="A8" s="2" t="str">
        <f>'[1]Processer - data'!$D421</f>
        <v>Bælgsæd</v>
      </c>
      <c r="B8" s="7"/>
      <c r="C8" s="216"/>
      <c r="D8" s="216"/>
    </row>
    <row r="9" spans="1:6" x14ac:dyDescent="0.25">
      <c r="A9" s="2" t="str">
        <f>'[1]Processer - data'!$D422</f>
        <v>Roer</v>
      </c>
      <c r="B9" s="7"/>
      <c r="C9" s="216"/>
      <c r="D9" s="216"/>
    </row>
    <row r="10" spans="1:6" x14ac:dyDescent="0.25">
      <c r="A10" s="2" t="str">
        <f>'[1]Processer - data'!$D423</f>
        <v>Majs</v>
      </c>
      <c r="B10" s="7"/>
      <c r="C10" s="216"/>
      <c r="D10" s="216"/>
    </row>
    <row r="11" spans="1:6" x14ac:dyDescent="0.25">
      <c r="A11" s="2" t="str">
        <f>'[1]Processer - data'!$D424</f>
        <v>Rapskage</v>
      </c>
      <c r="B11" s="7"/>
      <c r="C11" s="216"/>
      <c r="D11" s="216"/>
    </row>
    <row r="12" spans="1:6" x14ac:dyDescent="0.25">
      <c r="A12" s="2" t="str">
        <f>'[1]Processer - data'!$D425</f>
        <v>Tang</v>
      </c>
      <c r="B12" s="7"/>
      <c r="C12" s="216"/>
      <c r="D12" s="216"/>
    </row>
    <row r="13" spans="1:6" x14ac:dyDescent="0.25">
      <c r="A13" s="2" t="str">
        <f>'[1]Processer - data'!$D426</f>
        <v>Muslinger</v>
      </c>
      <c r="B13" s="7"/>
      <c r="C13" s="216"/>
      <c r="D13" s="216"/>
    </row>
    <row r="14" spans="1:6" x14ac:dyDescent="0.25">
      <c r="A14" s="2" t="str">
        <f>'[1]Processer - data'!$D427</f>
        <v>Græs</v>
      </c>
      <c r="B14" s="7"/>
      <c r="C14" s="216"/>
      <c r="D14" s="216"/>
    </row>
    <row r="15" spans="1:6" x14ac:dyDescent="0.25">
      <c r="A15" s="2" t="str">
        <f>'[1]Processer - data'!$D428</f>
        <v>Mælk til foder</v>
      </c>
      <c r="B15" s="7"/>
      <c r="C15" s="216"/>
      <c r="D15" s="216"/>
    </row>
    <row r="16" spans="1:6" x14ac:dyDescent="0.25">
      <c r="A16" s="2" t="str">
        <f>'[1]Processer - data'!$D429</f>
        <v>Fiberfraktion</v>
      </c>
      <c r="B16" s="7"/>
      <c r="C16" s="114">
        <f>ROUND('[1]Processer - data'!I$469/'[1]Processer - data'!I$468*C17*'[1]Processer - data'!$H$429/'[1]Processer - data'!$H$430,4)</f>
        <v>0</v>
      </c>
      <c r="D16" s="114">
        <f>ROUND('[1]Processer - data'!J$469/'[1]Processer - data'!J$468*D17*'[1]Processer - data'!$H$429/'[1]Processer - data'!$H$430,4)</f>
        <v>0</v>
      </c>
      <c r="E16" s="1" t="s">
        <v>281</v>
      </c>
    </row>
    <row r="17" spans="1:10" x14ac:dyDescent="0.25">
      <c r="A17" s="2" t="str">
        <f>'[1]Processer - data'!$D430</f>
        <v>Græsprotein</v>
      </c>
      <c r="B17" s="7"/>
      <c r="C17" s="216"/>
      <c r="D17" s="216"/>
    </row>
    <row r="18" spans="1:10" x14ac:dyDescent="0.25">
      <c r="A18" s="2" t="str">
        <f>'[1]Processer - data'!$D431</f>
        <v>Slagteriaffald til foder</v>
      </c>
      <c r="B18" s="7"/>
      <c r="C18" s="216"/>
      <c r="D18" s="216"/>
    </row>
    <row r="19" spans="1:10" x14ac:dyDescent="0.25">
      <c r="A19" s="25" t="s">
        <v>316</v>
      </c>
      <c r="B19" s="255"/>
      <c r="C19" s="265">
        <f>SUM(C5:C18)</f>
        <v>0</v>
      </c>
      <c r="D19" s="265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58" t="s">
        <v>108</v>
      </c>
      <c r="B21" s="259" t="str">
        <f>A5</f>
        <v>Korn</v>
      </c>
      <c r="C21" s="259" t="s">
        <v>137</v>
      </c>
      <c r="D21" s="120">
        <f>VLOOKUP($B21,[1]Foder!$A$2:$E$16,5,FALSE)</f>
        <v>0.39994582515067378</v>
      </c>
      <c r="E21" s="121">
        <f t="shared" ref="E21:E34" si="0">D21+IFERROR(VLOOKUP($B21,$A$5:$D$19,3,FALSE),0)*($B$3-$C$3)</f>
        <v>0.39994582515067378</v>
      </c>
      <c r="F21" s="121">
        <f t="shared" ref="F21:F34" si="1">E21+IFERROR(VLOOKUP($B21,$A$5:$D$19,4,FALSE),0)*($C$3-$D$3)</f>
        <v>0.39994582515067378</v>
      </c>
      <c r="J21" s="260"/>
    </row>
    <row r="22" spans="1:10" x14ac:dyDescent="0.25">
      <c r="A22" s="261" t="s">
        <v>108</v>
      </c>
      <c r="B22" s="12" t="str">
        <f t="shared" ref="B22:B34" si="2">A6</f>
        <v>Halm</v>
      </c>
      <c r="C22" s="12" t="s">
        <v>137</v>
      </c>
      <c r="D22" s="121">
        <f>VLOOKUP($B22,[1]Foder!$A$2:$E$16,5,FALSE)</f>
        <v>1.1105844111871065E-2</v>
      </c>
      <c r="E22" s="121">
        <f t="shared" si="0"/>
        <v>1.1105844111871065E-2</v>
      </c>
      <c r="F22" s="121">
        <f t="shared" si="1"/>
        <v>1.1105844111871065E-2</v>
      </c>
      <c r="J22" s="260"/>
    </row>
    <row r="23" spans="1:10" x14ac:dyDescent="0.25">
      <c r="A23" s="261" t="s">
        <v>108</v>
      </c>
      <c r="B23" s="12" t="str">
        <f t="shared" si="2"/>
        <v>Kartofler</v>
      </c>
      <c r="C23" s="12" t="s">
        <v>137</v>
      </c>
      <c r="D23" s="121">
        <f>VLOOKUP($B23,[1]Foder!$A$2:$E$16,5,FALSE)</f>
        <v>0</v>
      </c>
      <c r="E23" s="121">
        <f t="shared" si="0"/>
        <v>0</v>
      </c>
      <c r="F23" s="121">
        <f t="shared" si="1"/>
        <v>0</v>
      </c>
      <c r="J23" s="260"/>
    </row>
    <row r="24" spans="1:10" x14ac:dyDescent="0.25">
      <c r="A24" s="261" t="s">
        <v>108</v>
      </c>
      <c r="B24" s="12" t="str">
        <f t="shared" si="2"/>
        <v>Bælgsæd</v>
      </c>
      <c r="C24" s="12" t="s">
        <v>137</v>
      </c>
      <c r="D24" s="121">
        <f>VLOOKUP($B24,[1]Foder!$A$2:$E$16,5,FALSE)</f>
        <v>5.2820478093045303E-3</v>
      </c>
      <c r="E24" s="121">
        <f t="shared" si="0"/>
        <v>5.2820478093045303E-3</v>
      </c>
      <c r="F24" s="121">
        <f t="shared" si="1"/>
        <v>5.2820478093045303E-3</v>
      </c>
      <c r="J24" s="260"/>
    </row>
    <row r="25" spans="1:10" x14ac:dyDescent="0.25">
      <c r="A25" s="261" t="s">
        <v>108</v>
      </c>
      <c r="B25" s="12" t="str">
        <f t="shared" si="2"/>
        <v>Roer</v>
      </c>
      <c r="C25" s="12" t="s">
        <v>137</v>
      </c>
      <c r="D25" s="121">
        <f>VLOOKUP($B25,[1]Foder!$A$2:$E$16,5,FALSE)</f>
        <v>9.683754317058306E-3</v>
      </c>
      <c r="E25" s="121">
        <f t="shared" si="0"/>
        <v>9.683754317058306E-3</v>
      </c>
      <c r="F25" s="121">
        <f>E25+IFERROR(VLOOKUP($B25,$A$5:$D$19,4,FALSE),0)*($C$3-$D$3)</f>
        <v>9.683754317058306E-3</v>
      </c>
      <c r="J25" s="260"/>
    </row>
    <row r="26" spans="1:10" x14ac:dyDescent="0.25">
      <c r="A26" s="261" t="s">
        <v>108</v>
      </c>
      <c r="B26" s="12" t="str">
        <f t="shared" si="2"/>
        <v>Majs</v>
      </c>
      <c r="C26" s="12" t="s">
        <v>137</v>
      </c>
      <c r="D26" s="121">
        <f>VLOOKUP($B26,[1]Foder!$A$2:$E$16,5,FALSE)</f>
        <v>0.1132931536534164</v>
      </c>
      <c r="E26" s="121">
        <f t="shared" si="0"/>
        <v>0.1132931536534164</v>
      </c>
      <c r="F26" s="121">
        <f t="shared" si="1"/>
        <v>0.1132931536534164</v>
      </c>
      <c r="J26" s="260"/>
    </row>
    <row r="27" spans="1:10" x14ac:dyDescent="0.25">
      <c r="A27" s="261" t="s">
        <v>108</v>
      </c>
      <c r="B27" s="12" t="str">
        <f t="shared" si="2"/>
        <v>Rapskage</v>
      </c>
      <c r="C27" s="12" t="s">
        <v>137</v>
      </c>
      <c r="D27" s="121">
        <f>VLOOKUP($B27,[1]Foder!$A$2:$E$16,5,FALSE)</f>
        <v>1.6320173359517843E-2</v>
      </c>
      <c r="E27" s="121">
        <f t="shared" si="0"/>
        <v>1.6320173359517843E-2</v>
      </c>
      <c r="F27" s="121">
        <f t="shared" si="1"/>
        <v>1.6320173359517843E-2</v>
      </c>
      <c r="J27" s="260"/>
    </row>
    <row r="28" spans="1:10" x14ac:dyDescent="0.25">
      <c r="A28" s="261" t="s">
        <v>108</v>
      </c>
      <c r="B28" s="12" t="str">
        <f t="shared" si="2"/>
        <v>Tang</v>
      </c>
      <c r="C28" s="12" t="s">
        <v>137</v>
      </c>
      <c r="D28" s="121">
        <f>VLOOKUP($B28,[1]Foder!$A$2:$E$16,5,FALSE)</f>
        <v>0</v>
      </c>
      <c r="E28" s="121">
        <v>1E-3</v>
      </c>
      <c r="F28" s="121">
        <f t="shared" si="1"/>
        <v>1E-3</v>
      </c>
      <c r="J28" s="260"/>
    </row>
    <row r="29" spans="1:10" x14ac:dyDescent="0.25">
      <c r="A29" s="261" t="s">
        <v>108</v>
      </c>
      <c r="B29" s="12" t="str">
        <f t="shared" si="2"/>
        <v>Muslinger</v>
      </c>
      <c r="C29" s="12" t="s">
        <v>137</v>
      </c>
      <c r="D29" s="121">
        <f>VLOOKUP($B29,[1]Foder!$A$2:$E$16,5,FALSE)</f>
        <v>0</v>
      </c>
      <c r="E29" s="121">
        <f t="shared" si="0"/>
        <v>0</v>
      </c>
      <c r="F29" s="121">
        <f t="shared" si="1"/>
        <v>0</v>
      </c>
      <c r="J29" s="260"/>
    </row>
    <row r="30" spans="1:10" x14ac:dyDescent="0.25">
      <c r="A30" s="261" t="s">
        <v>108</v>
      </c>
      <c r="B30" s="12" t="str">
        <f t="shared" si="2"/>
        <v>Græs</v>
      </c>
      <c r="C30" s="12" t="s">
        <v>137</v>
      </c>
      <c r="D30" s="121">
        <f>VLOOKUP($B30,[1]Foder!$A$2:$E$16,5,FALSE)</f>
        <v>0.15385657208640888</v>
      </c>
      <c r="E30" s="121">
        <f t="shared" si="0"/>
        <v>0.15385657208640888</v>
      </c>
      <c r="F30" s="121">
        <f t="shared" si="1"/>
        <v>0.15385657208640888</v>
      </c>
    </row>
    <row r="31" spans="1:10" x14ac:dyDescent="0.25">
      <c r="A31" s="261" t="s">
        <v>108</v>
      </c>
      <c r="B31" s="12" t="str">
        <f t="shared" si="2"/>
        <v>Mælk til foder</v>
      </c>
      <c r="C31" s="12" t="s">
        <v>137</v>
      </c>
      <c r="D31" s="121">
        <f>VLOOKUP($B31,[1]Foder!$A$2:$E$16,5,FALSE)</f>
        <v>1.1038125550213313E-2</v>
      </c>
      <c r="E31" s="121">
        <f t="shared" si="0"/>
        <v>1.1038125550213313E-2</v>
      </c>
      <c r="F31" s="121">
        <f t="shared" si="1"/>
        <v>1.1038125550213313E-2</v>
      </c>
    </row>
    <row r="32" spans="1:10" x14ac:dyDescent="0.25">
      <c r="A32" s="261" t="s">
        <v>108</v>
      </c>
      <c r="B32" s="12" t="str">
        <f t="shared" si="2"/>
        <v>Fiberfraktion</v>
      </c>
      <c r="C32" s="12" t="s">
        <v>137</v>
      </c>
      <c r="D32" s="121">
        <f>VLOOKUP($B32,[1]Foder!$A$2:$E$16,5,FALSE)</f>
        <v>0</v>
      </c>
      <c r="E32" s="121">
        <f t="shared" si="0"/>
        <v>0</v>
      </c>
      <c r="F32" s="121">
        <f t="shared" si="1"/>
        <v>0</v>
      </c>
    </row>
    <row r="33" spans="1:6" x14ac:dyDescent="0.25">
      <c r="A33" s="261" t="s">
        <v>108</v>
      </c>
      <c r="B33" s="12" t="str">
        <f t="shared" si="2"/>
        <v>Græsprotein</v>
      </c>
      <c r="C33" s="12" t="s">
        <v>137</v>
      </c>
      <c r="D33" s="121">
        <f>VLOOKUP($B33,[1]Foder!$A$2:$E$16,5,FALSE)</f>
        <v>0</v>
      </c>
      <c r="E33" s="121">
        <v>0.27</v>
      </c>
      <c r="F33" s="121">
        <f t="shared" si="1"/>
        <v>0.27</v>
      </c>
    </row>
    <row r="34" spans="1:6" x14ac:dyDescent="0.25">
      <c r="A34" s="262" t="s">
        <v>108</v>
      </c>
      <c r="B34" s="12" t="str">
        <f t="shared" si="2"/>
        <v>Slagteriaffald til foder</v>
      </c>
      <c r="C34" s="12" t="s">
        <v>137</v>
      </c>
      <c r="D34" s="121">
        <f>VLOOKUP($B34,[1]Foder!$A$2:$E$16,5,FALSE)</f>
        <v>8.1939459605877979E-3</v>
      </c>
      <c r="E34" s="121">
        <f t="shared" si="0"/>
        <v>8.1939459605877979E-3</v>
      </c>
      <c r="F34" s="121">
        <f t="shared" si="1"/>
        <v>8.1939459605877979E-3</v>
      </c>
    </row>
    <row r="35" spans="1:6" ht="15.75" thickBot="1" x14ac:dyDescent="0.3">
      <c r="A35" s="262" t="s">
        <v>108</v>
      </c>
      <c r="B35" s="12" t="s">
        <v>166</v>
      </c>
      <c r="C35" s="12" t="s">
        <v>137</v>
      </c>
      <c r="D35" s="121">
        <f>B3</f>
        <v>0.27128055800094808</v>
      </c>
      <c r="E35" s="121">
        <v>0</v>
      </c>
      <c r="F35" s="121">
        <v>0</v>
      </c>
    </row>
    <row r="36" spans="1:6" ht="15.75" thickBot="1" x14ac:dyDescent="0.3">
      <c r="A36" s="263" t="s">
        <v>108</v>
      </c>
      <c r="B36" s="264" t="s">
        <v>31</v>
      </c>
      <c r="C36" s="264" t="s">
        <v>137</v>
      </c>
      <c r="D36" s="122">
        <f>SUM(D21:D35)</f>
        <v>1</v>
      </c>
      <c r="E36" s="122">
        <f t="shared" ref="E36:F36" si="3">SUM(E21:E35)</f>
        <v>0.99971944199905194</v>
      </c>
      <c r="F36" s="123">
        <f t="shared" si="3"/>
        <v>0.99971944199905194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36" t="s">
        <v>295</v>
      </c>
    </row>
    <row r="2" spans="1:4" x14ac:dyDescent="0.25">
      <c r="A2" s="104" t="s">
        <v>263</v>
      </c>
    </row>
    <row r="3" spans="1:4" x14ac:dyDescent="0.25">
      <c r="A3" s="6" t="s">
        <v>190</v>
      </c>
      <c r="B3" s="1" t="s">
        <v>177</v>
      </c>
    </row>
    <row r="4" spans="1:4" x14ac:dyDescent="0.25">
      <c r="A4" s="6" t="s">
        <v>184</v>
      </c>
      <c r="B4" s="1" t="s">
        <v>178</v>
      </c>
    </row>
    <row r="5" spans="1:4" x14ac:dyDescent="0.25">
      <c r="A5" s="6" t="s">
        <v>185</v>
      </c>
      <c r="B5" s="1" t="s">
        <v>179</v>
      </c>
    </row>
    <row r="6" spans="1:4" x14ac:dyDescent="0.25">
      <c r="A6" s="6" t="s">
        <v>186</v>
      </c>
      <c r="B6" s="1" t="s">
        <v>194</v>
      </c>
    </row>
    <row r="7" spans="1:4" x14ac:dyDescent="0.25">
      <c r="A7" s="6" t="s">
        <v>187</v>
      </c>
      <c r="B7" s="1" t="s">
        <v>195</v>
      </c>
    </row>
    <row r="8" spans="1:4" x14ac:dyDescent="0.25">
      <c r="A8" s="6" t="s">
        <v>188</v>
      </c>
      <c r="B8" s="1" t="s">
        <v>196</v>
      </c>
    </row>
    <row r="9" spans="1:4" x14ac:dyDescent="0.25">
      <c r="A9" s="2" t="s">
        <v>306</v>
      </c>
      <c r="B9" s="2"/>
      <c r="C9" s="217">
        <v>5.0000000000000001E-3</v>
      </c>
      <c r="D9" s="4"/>
    </row>
    <row r="10" spans="1:4" x14ac:dyDescent="0.25">
      <c r="A10" s="81"/>
      <c r="B10" s="81"/>
      <c r="C10" s="81"/>
      <c r="D10" s="83"/>
    </row>
    <row r="11" spans="1:4" x14ac:dyDescent="0.25">
      <c r="A11" s="2" t="s">
        <v>305</v>
      </c>
      <c r="B11" s="2"/>
      <c r="C11" s="2"/>
      <c r="D11" s="2"/>
    </row>
    <row r="12" spans="1:4" x14ac:dyDescent="0.25">
      <c r="A12" s="2" t="s">
        <v>191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184</v>
      </c>
      <c r="B13" s="7">
        <v>0</v>
      </c>
      <c r="C13" s="8">
        <v>1</v>
      </c>
      <c r="D13" s="8">
        <v>1</v>
      </c>
    </row>
    <row r="14" spans="1:4" x14ac:dyDescent="0.25">
      <c r="A14" s="2" t="s">
        <v>185</v>
      </c>
      <c r="B14" s="7">
        <v>0</v>
      </c>
      <c r="C14" s="8">
        <v>0</v>
      </c>
      <c r="D14" s="8">
        <v>0</v>
      </c>
    </row>
    <row r="15" spans="1:4" x14ac:dyDescent="0.25">
      <c r="A15" s="2" t="s">
        <v>186</v>
      </c>
      <c r="B15" s="7">
        <v>0</v>
      </c>
      <c r="C15" s="8">
        <v>0</v>
      </c>
      <c r="D15" s="8">
        <v>0</v>
      </c>
    </row>
    <row r="16" spans="1:4" x14ac:dyDescent="0.25">
      <c r="A16" s="2" t="s">
        <v>187</v>
      </c>
      <c r="B16" s="7">
        <v>0</v>
      </c>
      <c r="C16" s="8">
        <v>0</v>
      </c>
      <c r="D16" s="8">
        <v>0</v>
      </c>
    </row>
    <row r="17" spans="1:13" x14ac:dyDescent="0.25">
      <c r="A17" s="2" t="s">
        <v>188</v>
      </c>
      <c r="B17" s="7">
        <v>0</v>
      </c>
      <c r="C17" s="8">
        <v>0</v>
      </c>
      <c r="D17" s="8">
        <v>0</v>
      </c>
    </row>
    <row r="18" spans="1:13" x14ac:dyDescent="0.25">
      <c r="A18" s="186" t="s">
        <v>31</v>
      </c>
      <c r="B18" s="187"/>
      <c r="C18" s="187">
        <f>SUM(C13:C17)</f>
        <v>1</v>
      </c>
      <c r="D18" s="187">
        <f>SUM(D13:D17)</f>
        <v>1</v>
      </c>
    </row>
    <row r="19" spans="1:13" x14ac:dyDescent="0.25">
      <c r="A19" s="2"/>
      <c r="B19" s="2"/>
      <c r="C19" s="2" t="s">
        <v>24</v>
      </c>
      <c r="D19" s="2" t="s">
        <v>24</v>
      </c>
      <c r="E19" s="2" t="s">
        <v>24</v>
      </c>
      <c r="F19" s="2" t="s">
        <v>25</v>
      </c>
      <c r="G19" s="2" t="s">
        <v>25</v>
      </c>
      <c r="H19" s="2" t="s">
        <v>25</v>
      </c>
    </row>
    <row r="20" spans="1:13" x14ac:dyDescent="0.25">
      <c r="A20" s="25" t="s">
        <v>192</v>
      </c>
      <c r="B20" s="188" t="s">
        <v>193</v>
      </c>
      <c r="C20" s="188">
        <f>År1</f>
        <v>2019</v>
      </c>
      <c r="D20" s="188">
        <f>År2</f>
        <v>2030</v>
      </c>
      <c r="E20" s="188">
        <f>År3</f>
        <v>2050</v>
      </c>
      <c r="F20" s="188">
        <f>År1</f>
        <v>2019</v>
      </c>
      <c r="G20" s="188">
        <f>År2</f>
        <v>2030</v>
      </c>
      <c r="H20" s="188">
        <f>År3</f>
        <v>2050</v>
      </c>
    </row>
    <row r="21" spans="1:13" x14ac:dyDescent="0.25">
      <c r="A21" s="2" t="s">
        <v>190</v>
      </c>
      <c r="B21" s="189" t="s">
        <v>189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25">
      <c r="A22" s="2" t="s">
        <v>184</v>
      </c>
      <c r="B22" s="190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448670.94674746168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488124.17590251542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52277.563800562246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56237.829271229559</v>
      </c>
    </row>
    <row r="23" spans="1:13" x14ac:dyDescent="0.25">
      <c r="A23" s="2" t="s">
        <v>184</v>
      </c>
      <c r="B23" s="190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44867.094674746164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488124.17590251542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5227.7563800562248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56237.829271229559</v>
      </c>
    </row>
    <row r="24" spans="1:13" x14ac:dyDescent="0.25">
      <c r="A24" s="2" t="s">
        <v>184</v>
      </c>
      <c r="B24" s="190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448670.94674746168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52277.563800562246</v>
      </c>
    </row>
    <row r="25" spans="1:13" x14ac:dyDescent="0.25">
      <c r="A25" s="2" t="s">
        <v>184</v>
      </c>
      <c r="B25" s="191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44867.094674746164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5227.7563800562248</v>
      </c>
    </row>
    <row r="26" spans="1:13" x14ac:dyDescent="0.25">
      <c r="A26" s="2" t="s">
        <v>185</v>
      </c>
      <c r="B26" s="190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183</v>
      </c>
    </row>
    <row r="27" spans="1:13" x14ac:dyDescent="0.25">
      <c r="A27" s="2" t="s">
        <v>185</v>
      </c>
      <c r="B27" s="190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25">
      <c r="A28" s="2" t="s">
        <v>185</v>
      </c>
      <c r="B28" s="190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25">
      <c r="A29" s="2" t="s">
        <v>185</v>
      </c>
      <c r="B29" s="191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25">
      <c r="A30" s="2" t="s">
        <v>186</v>
      </c>
      <c r="B30" s="190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25">
      <c r="A31" s="2" t="s">
        <v>186</v>
      </c>
      <c r="B31" s="190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25">
      <c r="A32" s="2" t="s">
        <v>186</v>
      </c>
      <c r="B32" s="190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25">
      <c r="A33" s="2" t="s">
        <v>186</v>
      </c>
      <c r="B33" s="191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25">
      <c r="A34" s="2" t="s">
        <v>187</v>
      </c>
      <c r="B34" s="190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25">
      <c r="A35" s="2" t="s">
        <v>187</v>
      </c>
      <c r="B35" s="190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25">
      <c r="A36" s="2" t="s">
        <v>187</v>
      </c>
      <c r="B36" s="190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25">
      <c r="A37" s="2" t="s">
        <v>187</v>
      </c>
      <c r="B37" s="191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25">
      <c r="A38" s="2" t="s">
        <v>188</v>
      </c>
      <c r="B38" s="190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25">
      <c r="A39" s="2" t="s">
        <v>188</v>
      </c>
      <c r="B39" s="190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25">
      <c r="A40" s="2" t="s">
        <v>188</v>
      </c>
      <c r="B40" s="190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25">
      <c r="A41" s="2" t="s">
        <v>188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25">
      <c r="B42" s="155"/>
    </row>
    <row r="43" spans="1:8" x14ac:dyDescent="0.25">
      <c r="B43" s="155"/>
    </row>
    <row r="44" spans="1:8" x14ac:dyDescent="0.25">
      <c r="B44" s="155"/>
    </row>
    <row r="46" spans="1:8" x14ac:dyDescent="0.25">
      <c r="A46" s="340" t="s">
        <v>314</v>
      </c>
      <c r="B46" s="2" t="s">
        <v>24</v>
      </c>
      <c r="C46" s="2"/>
      <c r="D46" s="2"/>
      <c r="E46" s="2" t="s">
        <v>25</v>
      </c>
      <c r="F46" s="2"/>
      <c r="G46" s="2"/>
    </row>
    <row r="47" spans="1:8" x14ac:dyDescent="0.25">
      <c r="A47" s="341"/>
      <c r="B47" s="188">
        <f>År1</f>
        <v>2019</v>
      </c>
      <c r="C47" s="188">
        <f>År2</f>
        <v>2030</v>
      </c>
      <c r="D47" s="188">
        <f>År3</f>
        <v>2050</v>
      </c>
      <c r="E47" s="188">
        <f>År1</f>
        <v>2019</v>
      </c>
      <c r="F47" s="188">
        <f>År2</f>
        <v>2030</v>
      </c>
      <c r="G47" s="188">
        <f>År3</f>
        <v>2050</v>
      </c>
    </row>
    <row r="48" spans="1:8" x14ac:dyDescent="0.25">
      <c r="A48" s="2" t="s">
        <v>190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25">
      <c r="A49" s="2" t="s">
        <v>184</v>
      </c>
      <c r="B49" s="110">
        <f t="shared" si="0"/>
        <v>0</v>
      </c>
      <c r="C49" s="110">
        <f t="shared" si="0"/>
        <v>493538.04142220784</v>
      </c>
      <c r="D49" s="110">
        <f t="shared" si="0"/>
        <v>1469786.3932272389</v>
      </c>
      <c r="E49" s="110">
        <f t="shared" si="0"/>
        <v>0</v>
      </c>
      <c r="F49" s="110">
        <f t="shared" si="0"/>
        <v>57505.320180618473</v>
      </c>
      <c r="G49" s="110">
        <f t="shared" si="0"/>
        <v>169980.9787230776</v>
      </c>
    </row>
    <row r="50" spans="1:7" x14ac:dyDescent="0.25">
      <c r="A50" s="2" t="s">
        <v>185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25">
      <c r="A51" s="2" t="s">
        <v>186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25">
      <c r="A52" s="2" t="s">
        <v>187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25">
      <c r="A53" s="2" t="s">
        <v>188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zoomScale="80" zoomScaleNormal="80" workbookViewId="0">
      <selection activeCell="G6" sqref="G6"/>
    </sheetView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4" t="s">
        <v>295</v>
      </c>
      <c r="F1" s="75" t="s">
        <v>254</v>
      </c>
    </row>
    <row r="2" spans="1:7" x14ac:dyDescent="0.25">
      <c r="A2" s="2" t="s">
        <v>136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253</v>
      </c>
    </row>
    <row r="3" spans="1:7" x14ac:dyDescent="0.25">
      <c r="A3" s="109" t="s">
        <v>100</v>
      </c>
      <c r="B3" s="2" t="s">
        <v>24</v>
      </c>
      <c r="C3" s="110">
        <f>(502+3901)/10</f>
        <v>440.3</v>
      </c>
      <c r="D3" s="111">
        <f>E3-(121.4+13.5+218.5+5)*100</f>
        <v>72570.000000000029</v>
      </c>
      <c r="E3" s="111">
        <f>(9.6+43.4+265+84.7+55.6+112.4+6.1+10.5+121.4+27.4+89.4+13.5+12.6+0.4+218.5+0.9+3.9+3.4+5+0.4)*100</f>
        <v>108410.00000000003</v>
      </c>
      <c r="F3" t="s">
        <v>220</v>
      </c>
    </row>
    <row r="4" spans="1:7" x14ac:dyDescent="0.25">
      <c r="A4" s="109" t="s">
        <v>100</v>
      </c>
      <c r="B4" s="2" t="s">
        <v>25</v>
      </c>
      <c r="C4" s="110">
        <v>0.6</v>
      </c>
      <c r="D4" s="111">
        <f>E4-(207.3+47.4)*100</f>
        <v>1610</v>
      </c>
      <c r="E4" s="111">
        <f>(207.3+16.1+47.4)*100</f>
        <v>27080</v>
      </c>
      <c r="F4" t="s">
        <v>220</v>
      </c>
    </row>
    <row r="5" spans="1:7" x14ac:dyDescent="0.25">
      <c r="A5" s="109" t="s">
        <v>101</v>
      </c>
      <c r="B5" s="2" t="s">
        <v>24</v>
      </c>
      <c r="C5" s="110">
        <f>170/10</f>
        <v>17</v>
      </c>
      <c r="D5" s="111">
        <v>600</v>
      </c>
      <c r="E5" s="111">
        <f t="shared" ref="E5" si="0">D5</f>
        <v>600</v>
      </c>
      <c r="F5" t="s">
        <v>252</v>
      </c>
    </row>
    <row r="6" spans="1:7" x14ac:dyDescent="0.25">
      <c r="A6" s="109" t="s">
        <v>101</v>
      </c>
      <c r="B6" s="2" t="s">
        <v>25</v>
      </c>
      <c r="C6" s="110"/>
      <c r="D6" s="111">
        <v>200</v>
      </c>
      <c r="E6" s="111">
        <f t="shared" ref="E6" si="1">D6</f>
        <v>200</v>
      </c>
      <c r="F6"/>
    </row>
    <row r="10" spans="1:7" x14ac:dyDescent="0.25">
      <c r="B10" s="1" t="s">
        <v>24</v>
      </c>
      <c r="E10" s="1" t="s">
        <v>25</v>
      </c>
    </row>
    <row r="11" spans="1:7" x14ac:dyDescent="0.25">
      <c r="B11" s="156">
        <f>År1</f>
        <v>2019</v>
      </c>
      <c r="C11" s="156">
        <f>År2</f>
        <v>2030</v>
      </c>
      <c r="D11" s="156">
        <f>År3</f>
        <v>2050</v>
      </c>
      <c r="E11" s="156">
        <f>År1</f>
        <v>2019</v>
      </c>
      <c r="F11" s="156">
        <f>År2</f>
        <v>2030</v>
      </c>
      <c r="G11" s="156">
        <f>År3</f>
        <v>2050</v>
      </c>
    </row>
    <row r="12" spans="1:7" x14ac:dyDescent="0.25">
      <c r="A12" s="109" t="s">
        <v>100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09" t="s">
        <v>101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D14" sqref="D14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23.42578125" style="1" customWidth="1"/>
    <col min="7" max="16384" width="9.140625" style="1"/>
  </cols>
  <sheetData>
    <row r="1" spans="1:9" x14ac:dyDescent="0.25">
      <c r="A1" s="236" t="s">
        <v>295</v>
      </c>
    </row>
    <row r="2" spans="1:9" ht="15.75" x14ac:dyDescent="0.25">
      <c r="A2" s="233" t="s">
        <v>26</v>
      </c>
    </row>
    <row r="3" spans="1:9" x14ac:dyDescent="0.25">
      <c r="A3" s="6" t="s">
        <v>331</v>
      </c>
    </row>
    <row r="4" spans="1:9" x14ac:dyDescent="0.25">
      <c r="A4" s="25" t="s">
        <v>160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162</v>
      </c>
      <c r="G4" s="84">
        <f>År1</f>
        <v>2019</v>
      </c>
      <c r="H4" s="84">
        <f>År2</f>
        <v>2030</v>
      </c>
      <c r="I4" s="84">
        <f>År3</f>
        <v>2050</v>
      </c>
    </row>
    <row r="5" spans="1:9" x14ac:dyDescent="0.25">
      <c r="A5" s="2" t="s">
        <v>232</v>
      </c>
      <c r="B5" s="87">
        <v>0</v>
      </c>
      <c r="C5" s="3">
        <v>0.5</v>
      </c>
      <c r="D5" s="3">
        <v>1</v>
      </c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202630.41559209468</v>
      </c>
      <c r="I5" s="10">
        <f>D23*365.25/1000000*[1]Befolkningstal!D$4/(1-D$12)</f>
        <v>422546.47271031176</v>
      </c>
    </row>
    <row r="6" spans="1:9" x14ac:dyDescent="0.25">
      <c r="A6" s="2" t="s">
        <v>109</v>
      </c>
      <c r="B6" s="87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101</v>
      </c>
      <c r="B7" s="87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215</v>
      </c>
      <c r="B8" s="87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233</v>
      </c>
      <c r="B9" s="115"/>
      <c r="C9" s="115"/>
      <c r="D9" s="115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9" x14ac:dyDescent="0.25">
      <c r="A12" s="93" t="s">
        <v>210</v>
      </c>
      <c r="B12" s="87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22</v>
      </c>
    </row>
    <row r="13" spans="1:9" x14ac:dyDescent="0.25">
      <c r="A13" s="185" t="s">
        <v>297</v>
      </c>
      <c r="B13" s="87">
        <v>0.32862000000000002</v>
      </c>
      <c r="C13" s="3">
        <v>0.5</v>
      </c>
      <c r="D13" s="3">
        <v>0.75</v>
      </c>
    </row>
    <row r="14" spans="1:9" x14ac:dyDescent="0.25">
      <c r="A14" s="185" t="s">
        <v>261</v>
      </c>
      <c r="B14" s="87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hidden="1" x14ac:dyDescent="0.25">
      <c r="A16" s="6" t="s">
        <v>159</v>
      </c>
      <c r="B16" s="6"/>
      <c r="C16" s="6"/>
      <c r="D16" s="6"/>
      <c r="F16" s="1" t="s">
        <v>96</v>
      </c>
    </row>
    <row r="17" spans="1:8" hidden="1" x14ac:dyDescent="0.25">
      <c r="A17" s="2" t="s">
        <v>16</v>
      </c>
      <c r="B17" s="84">
        <f>År1</f>
        <v>2019</v>
      </c>
      <c r="C17" s="84">
        <f>År2</f>
        <v>2030</v>
      </c>
      <c r="D17" s="84">
        <f>År3</f>
        <v>2050</v>
      </c>
    </row>
    <row r="18" spans="1:8" hidden="1" x14ac:dyDescent="0.25">
      <c r="A18" s="2" t="s">
        <v>49</v>
      </c>
      <c r="B18" s="110">
        <v>218</v>
      </c>
      <c r="C18" s="116">
        <f>B18</f>
        <v>218</v>
      </c>
      <c r="D18" s="116">
        <f>B18</f>
        <v>218</v>
      </c>
      <c r="H18" s="112"/>
    </row>
    <row r="19" spans="1:8" hidden="1" x14ac:dyDescent="0.25">
      <c r="A19" s="2" t="s">
        <v>6</v>
      </c>
      <c r="B19" s="110">
        <v>199</v>
      </c>
      <c r="C19" s="116">
        <f>B19</f>
        <v>199</v>
      </c>
      <c r="D19" s="116">
        <f>B19</f>
        <v>199</v>
      </c>
    </row>
    <row r="20" spans="1:8" hidden="1" x14ac:dyDescent="0.25">
      <c r="A20" s="2" t="s">
        <v>12</v>
      </c>
      <c r="B20" s="110">
        <v>91</v>
      </c>
      <c r="C20" s="116">
        <f>B20</f>
        <v>91</v>
      </c>
      <c r="D20" s="116">
        <f>B20</f>
        <v>91</v>
      </c>
    </row>
    <row r="21" spans="1:8" hidden="1" x14ac:dyDescent="0.25">
      <c r="A21" s="2" t="s">
        <v>13</v>
      </c>
      <c r="B21" s="116">
        <f>B33*B35</f>
        <v>89.78</v>
      </c>
      <c r="C21" s="116">
        <f>$B21*(1-SUM(C$5:C$8))</f>
        <v>44.89</v>
      </c>
      <c r="D21" s="116">
        <f>$B21*(1-SUM(D$5:D$8))</f>
        <v>0</v>
      </c>
    </row>
    <row r="22" spans="1:8" hidden="1" x14ac:dyDescent="0.25">
      <c r="A22" s="2" t="s">
        <v>14</v>
      </c>
      <c r="B22" s="116">
        <f>B33*B34</f>
        <v>44.22</v>
      </c>
      <c r="C22" s="116">
        <f>$B22*(1-SUM(C$5:C$8))</f>
        <v>22.11</v>
      </c>
      <c r="D22" s="116">
        <f>$B22*(1-SUM(D$5:D$8))</f>
        <v>0</v>
      </c>
    </row>
    <row r="23" spans="1:8" hidden="1" x14ac:dyDescent="0.25">
      <c r="A23" s="2" t="s">
        <v>50</v>
      </c>
      <c r="B23" s="116">
        <f>SUM($B$21:$B$22,$B$28)*B5</f>
        <v>0</v>
      </c>
      <c r="C23" s="116">
        <f t="shared" ref="C23:D23" si="2">SUM($B$21:$B$22,$B$28)*C5</f>
        <v>80</v>
      </c>
      <c r="D23" s="116">
        <f t="shared" si="2"/>
        <v>160</v>
      </c>
      <c r="F23" s="1" t="s">
        <v>214</v>
      </c>
    </row>
    <row r="24" spans="1:8" hidden="1" x14ac:dyDescent="0.25">
      <c r="A24" s="2" t="s">
        <v>109</v>
      </c>
      <c r="B24" s="116">
        <f>SUM($B$21:$B$22,$B$28)*B6</f>
        <v>0</v>
      </c>
      <c r="C24" s="116">
        <f t="shared" ref="C24:D26" si="3">SUM($B$21:$B$22,$B$28)*C6</f>
        <v>0</v>
      </c>
      <c r="D24" s="116">
        <f t="shared" si="3"/>
        <v>0</v>
      </c>
      <c r="F24" s="1" t="s">
        <v>216</v>
      </c>
    </row>
    <row r="25" spans="1:8" hidden="1" x14ac:dyDescent="0.25">
      <c r="A25" s="2" t="s">
        <v>101</v>
      </c>
      <c r="B25" s="116">
        <f>SUM($B$21:$B$22,$B$28)*B7</f>
        <v>0</v>
      </c>
      <c r="C25" s="116">
        <f t="shared" si="3"/>
        <v>0</v>
      </c>
      <c r="D25" s="116">
        <f t="shared" si="3"/>
        <v>0</v>
      </c>
    </row>
    <row r="26" spans="1:8" hidden="1" x14ac:dyDescent="0.25">
      <c r="A26" s="2" t="s">
        <v>215</v>
      </c>
      <c r="B26" s="116">
        <f>SUM($B$21:$B$22,$B$28)*B8</f>
        <v>0</v>
      </c>
      <c r="C26" s="116">
        <f t="shared" si="3"/>
        <v>0</v>
      </c>
      <c r="D26" s="116">
        <f t="shared" si="3"/>
        <v>0</v>
      </c>
    </row>
    <row r="27" spans="1:8" hidden="1" x14ac:dyDescent="0.25">
      <c r="A27" s="2" t="s">
        <v>119</v>
      </c>
      <c r="B27" s="110">
        <f>304+44</f>
        <v>348</v>
      </c>
      <c r="C27" s="116">
        <f>B27</f>
        <v>348</v>
      </c>
      <c r="D27" s="116">
        <f>B27</f>
        <v>348</v>
      </c>
      <c r="F27" s="1" t="s">
        <v>343</v>
      </c>
    </row>
    <row r="28" spans="1:8" hidden="1" x14ac:dyDescent="0.25">
      <c r="A28" s="2" t="s">
        <v>98</v>
      </c>
      <c r="B28" s="110">
        <v>26</v>
      </c>
      <c r="C28" s="116">
        <f>$B28*(1-SUM(C$5:C$8))</f>
        <v>13</v>
      </c>
      <c r="D28" s="116">
        <f>$B28*(1-SUM(D$5:D$8))</f>
        <v>0</v>
      </c>
    </row>
    <row r="29" spans="1:8" hidden="1" x14ac:dyDescent="0.25">
      <c r="A29" s="2" t="s">
        <v>15</v>
      </c>
      <c r="B29" s="110">
        <v>24</v>
      </c>
      <c r="C29" s="116">
        <f>B29</f>
        <v>24</v>
      </c>
      <c r="D29" s="116">
        <f>B29</f>
        <v>24</v>
      </c>
    </row>
    <row r="30" spans="1:8" hidden="1" x14ac:dyDescent="0.25">
      <c r="A30" s="2" t="s">
        <v>55</v>
      </c>
      <c r="B30" s="110">
        <v>190</v>
      </c>
      <c r="C30" s="116">
        <f>B30</f>
        <v>190</v>
      </c>
      <c r="D30" s="116">
        <f>B30</f>
        <v>190</v>
      </c>
    </row>
    <row r="31" spans="1:8" hidden="1" x14ac:dyDescent="0.25">
      <c r="A31" s="2" t="s">
        <v>19</v>
      </c>
      <c r="B31" s="110">
        <v>37</v>
      </c>
      <c r="C31" s="117">
        <f>B31</f>
        <v>37</v>
      </c>
      <c r="D31" s="117">
        <f>B31</f>
        <v>37</v>
      </c>
    </row>
    <row r="32" spans="1:8" hidden="1" x14ac:dyDescent="0.25">
      <c r="A32" s="332" t="s">
        <v>31</v>
      </c>
      <c r="B32" s="331">
        <f>SUM(B18:B31)</f>
        <v>1267</v>
      </c>
      <c r="C32" s="331">
        <f>SUM(C18:C31)</f>
        <v>1267</v>
      </c>
      <c r="D32" s="331">
        <f>SUM(D18:D31)</f>
        <v>1267</v>
      </c>
    </row>
    <row r="33" spans="1:4" hidden="1" x14ac:dyDescent="0.25">
      <c r="A33" s="4" t="s">
        <v>18</v>
      </c>
      <c r="B33" s="103">
        <v>134</v>
      </c>
      <c r="C33" s="115"/>
    </row>
    <row r="34" spans="1:4" hidden="1" x14ac:dyDescent="0.25">
      <c r="A34" s="4" t="s">
        <v>20</v>
      </c>
      <c r="B34" s="106">
        <v>0.33</v>
      </c>
      <c r="C34" s="115" t="s">
        <v>158</v>
      </c>
    </row>
    <row r="35" spans="1:4" hidden="1" x14ac:dyDescent="0.25">
      <c r="A35" s="5" t="s">
        <v>21</v>
      </c>
      <c r="B35" s="118">
        <v>0.67</v>
      </c>
      <c r="C35" s="115"/>
    </row>
    <row r="36" spans="1:4" x14ac:dyDescent="0.25">
      <c r="A36" s="12"/>
      <c r="B36" s="12"/>
      <c r="C36" s="12"/>
      <c r="D36" s="12"/>
    </row>
    <row r="37" spans="1:4" x14ac:dyDescent="0.25">
      <c r="A37" s="12"/>
      <c r="B37" s="12"/>
      <c r="C37" s="105"/>
      <c r="D37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topLeftCell="A2" zoomScale="85" zoomScaleNormal="85" workbookViewId="0">
      <selection activeCell="D18" sqref="D18"/>
    </sheetView>
  </sheetViews>
  <sheetFormatPr defaultColWidth="9.140625" defaultRowHeight="12" x14ac:dyDescent="0.2"/>
  <cols>
    <col min="1" max="1" width="15.85546875" style="127" customWidth="1"/>
    <col min="2" max="2" width="10.140625" style="127" bestFit="1" customWidth="1"/>
    <col min="3" max="3" width="10.140625" style="127" customWidth="1"/>
    <col min="4" max="4" width="11.85546875" style="127" bestFit="1" customWidth="1"/>
    <col min="5" max="5" width="11" style="127" customWidth="1"/>
    <col min="6" max="6" width="13.42578125" style="127" customWidth="1"/>
    <col min="7" max="7" width="22.140625" style="127" customWidth="1"/>
    <col min="8" max="8" width="10" style="127" hidden="1" customWidth="1"/>
    <col min="9" max="12" width="9.28515625" style="127" hidden="1" customWidth="1"/>
    <col min="13" max="13" width="24.28515625" style="127" hidden="1" customWidth="1"/>
    <col min="14" max="14" width="12.7109375" style="127" hidden="1" customWidth="1"/>
    <col min="15" max="15" width="9.28515625" style="127" hidden="1" customWidth="1"/>
    <col min="16" max="16" width="9.85546875" style="127" hidden="1" customWidth="1"/>
    <col min="17" max="23" width="0" style="127" hidden="1" customWidth="1"/>
    <col min="24" max="16384" width="9.140625" style="127"/>
  </cols>
  <sheetData>
    <row r="1" spans="1:29" ht="12.75" thickBot="1" x14ac:dyDescent="0.25">
      <c r="A1" s="235" t="s">
        <v>295</v>
      </c>
    </row>
    <row r="2" spans="1:29" ht="46.5" customHeight="1" x14ac:dyDescent="0.2">
      <c r="A2" s="239" t="s">
        <v>144</v>
      </c>
      <c r="B2" s="239">
        <f>År1</f>
        <v>2019</v>
      </c>
      <c r="C2" s="239">
        <f>År2</f>
        <v>2030</v>
      </c>
      <c r="D2" s="239">
        <f>År3</f>
        <v>2050</v>
      </c>
      <c r="E2" s="125"/>
      <c r="F2" s="345" t="s">
        <v>323</v>
      </c>
      <c r="G2" s="346"/>
      <c r="M2" s="126"/>
      <c r="Z2" s="124" t="s">
        <v>156</v>
      </c>
      <c r="AA2" s="125">
        <f>År1</f>
        <v>2019</v>
      </c>
      <c r="AB2" s="125">
        <f>År2</f>
        <v>2030</v>
      </c>
      <c r="AC2" s="125">
        <f>År3</f>
        <v>2050</v>
      </c>
    </row>
    <row r="3" spans="1:29" x14ac:dyDescent="0.2">
      <c r="A3" s="182" t="s">
        <v>141</v>
      </c>
      <c r="B3" s="240">
        <f>N12/SUMIFS('Resultater - Danmark'!H$3:H$482,'Resultater - Danmark'!$F$3:$F$482,$A3)</f>
        <v>0.16508293217043288</v>
      </c>
      <c r="C3" s="183">
        <v>0.53</v>
      </c>
      <c r="D3" s="183">
        <v>0.53</v>
      </c>
      <c r="E3" s="160"/>
      <c r="F3" s="176" t="s">
        <v>105</v>
      </c>
      <c r="G3" s="177">
        <v>0.9</v>
      </c>
      <c r="H3" s="152"/>
      <c r="N3" s="268"/>
      <c r="Z3" s="127" t="s">
        <v>113</v>
      </c>
      <c r="AA3" s="128">
        <f>SUM(C12:C14)/SUM(C12:C15)</f>
        <v>0.73155031690147754</v>
      </c>
      <c r="AB3" s="128">
        <f>SUM(D12:D14)/SUM(D12:D15)</f>
        <v>0.72278465605739195</v>
      </c>
      <c r="AC3" s="128">
        <f>SUM(E12:E14)/SUM(E12:E15)</f>
        <v>0.19576079979532748</v>
      </c>
    </row>
    <row r="4" spans="1:29" x14ac:dyDescent="0.2">
      <c r="A4" s="182" t="s">
        <v>142</v>
      </c>
      <c r="B4" s="240">
        <f>N13/SUMIFS('Resultater - Danmark'!H$3:H$482,'Resultater - Danmark'!$F$3:$F$482,$A4)</f>
        <v>0.30985833926453143</v>
      </c>
      <c r="C4" s="183">
        <v>0.76</v>
      </c>
      <c r="D4" s="183">
        <v>0.76</v>
      </c>
      <c r="E4" s="160"/>
      <c r="F4" s="176" t="s">
        <v>104</v>
      </c>
      <c r="G4" s="177">
        <v>0.9</v>
      </c>
      <c r="N4" s="268"/>
      <c r="Z4" s="126" t="s">
        <v>211</v>
      </c>
    </row>
    <row r="5" spans="1:29" x14ac:dyDescent="0.2">
      <c r="A5" s="182" t="s">
        <v>143</v>
      </c>
      <c r="B5" s="240">
        <v>0.5</v>
      </c>
      <c r="C5" s="183">
        <v>0.5</v>
      </c>
      <c r="D5" s="183">
        <v>0.5</v>
      </c>
      <c r="E5" s="160"/>
      <c r="F5" s="176"/>
      <c r="G5" s="177"/>
      <c r="H5" s="129"/>
      <c r="N5" s="268"/>
      <c r="Z5" s="127" t="s">
        <v>141</v>
      </c>
      <c r="AA5" s="149">
        <f t="shared" ref="AA5:AC6" si="0">C12/C$29</f>
        <v>0.22267199142680771</v>
      </c>
      <c r="AB5" s="149">
        <f t="shared" si="0"/>
        <v>0.24949883692138367</v>
      </c>
      <c r="AC5" s="149">
        <f t="shared" si="0"/>
        <v>1.822117229580476E-2</v>
      </c>
    </row>
    <row r="6" spans="1:29" x14ac:dyDescent="0.2">
      <c r="A6" s="182" t="s">
        <v>146</v>
      </c>
      <c r="B6" s="240">
        <f>N15/SUMIFS('Resultater - Danmark'!H$3:H$482,'Resultater - Danmark'!$F$3:$F$482,$A6)</f>
        <v>0.37924884410556858</v>
      </c>
      <c r="C6" s="183">
        <v>0.37924884410556858</v>
      </c>
      <c r="D6" s="183">
        <v>0.37924884410556858</v>
      </c>
      <c r="E6" s="160"/>
      <c r="F6" s="176"/>
      <c r="G6" s="177"/>
      <c r="H6" s="130"/>
      <c r="Z6" s="131" t="s">
        <v>142</v>
      </c>
      <c r="AA6" s="149">
        <f t="shared" si="0"/>
        <v>0.33257225498473725</v>
      </c>
      <c r="AB6" s="149">
        <f t="shared" si="0"/>
        <v>0.38949666014531953</v>
      </c>
      <c r="AC6" s="149">
        <f t="shared" si="0"/>
        <v>0.15783491034612296</v>
      </c>
    </row>
    <row r="7" spans="1:29" x14ac:dyDescent="0.2">
      <c r="A7" s="182" t="s">
        <v>103</v>
      </c>
      <c r="B7" s="240">
        <f>N16/SUMIFS('Resultater - Danmark'!H$3:H$482,'Resultater - Danmark'!$F$3:$F$482,$A7)</f>
        <v>0.25812101313640656</v>
      </c>
      <c r="C7" s="183">
        <v>0.5</v>
      </c>
      <c r="D7" s="183">
        <v>0.5</v>
      </c>
      <c r="F7" s="176"/>
      <c r="G7" s="178"/>
      <c r="N7" s="161"/>
    </row>
    <row r="8" spans="1:29" ht="12.75" thickBot="1" x14ac:dyDescent="0.25">
      <c r="A8" s="182" t="s">
        <v>217</v>
      </c>
      <c r="B8" s="240">
        <v>0</v>
      </c>
      <c r="C8" s="183">
        <v>0.1</v>
      </c>
      <c r="D8" s="183">
        <v>0.2</v>
      </c>
      <c r="F8" s="179"/>
      <c r="G8" s="180"/>
      <c r="I8" s="161"/>
    </row>
    <row r="10" spans="1:29" ht="23.45" customHeight="1" x14ac:dyDescent="0.2">
      <c r="A10" s="131"/>
      <c r="B10" s="132"/>
      <c r="C10" s="343" t="s">
        <v>222</v>
      </c>
      <c r="D10" s="343"/>
      <c r="E10" s="343"/>
      <c r="F10" s="342" t="s">
        <v>221</v>
      </c>
      <c r="G10" s="342"/>
      <c r="J10" s="344" t="s">
        <v>223</v>
      </c>
      <c r="K10" s="344"/>
      <c r="L10" s="344"/>
    </row>
    <row r="11" spans="1:29" x14ac:dyDescent="0.2">
      <c r="C11" s="133">
        <f>År1</f>
        <v>2019</v>
      </c>
      <c r="D11" s="133">
        <f>År2</f>
        <v>2030</v>
      </c>
      <c r="E11" s="133">
        <f>År3</f>
        <v>2050</v>
      </c>
      <c r="F11" s="133">
        <v>2030</v>
      </c>
      <c r="G11" s="133">
        <v>2050</v>
      </c>
      <c r="H11" s="133" t="s">
        <v>107</v>
      </c>
      <c r="I11" s="133" t="s">
        <v>150</v>
      </c>
      <c r="J11" s="133">
        <f>År1</f>
        <v>2019</v>
      </c>
      <c r="K11" s="133">
        <f>År2</f>
        <v>2030</v>
      </c>
      <c r="L11" s="133">
        <f>År3</f>
        <v>2050</v>
      </c>
      <c r="M11" s="126" t="s">
        <v>226</v>
      </c>
    </row>
    <row r="12" spans="1:29" x14ac:dyDescent="0.2">
      <c r="A12" s="134" t="s">
        <v>141</v>
      </c>
      <c r="B12" s="134" t="s">
        <v>145</v>
      </c>
      <c r="C12" s="135">
        <f>SUMIFS('Resultater - Danmark'!H$3:H$482,'Resultater - Danmark'!$F$3:$F$482,$A12)*B3</f>
        <v>2914869.3333333335</v>
      </c>
      <c r="D12" s="135">
        <f>SUMIFS('Resultater - Danmark'!I$3:I$482,'Resultater - Danmark'!$F$3:$F$482,$A12)*C3</f>
        <v>2794791.5734325144</v>
      </c>
      <c r="E12" s="135">
        <f>SUMIFS('Resultater - Danmark'!J$3:J$482,'Resultater - Danmark'!$F$3:$F$482,$A12)*D3</f>
        <v>71594.294068057847</v>
      </c>
      <c r="F12" s="252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2478400.0745533612</v>
      </c>
      <c r="G12" s="252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63489.279645258852</v>
      </c>
      <c r="H12" s="136">
        <f>VLOOKUP(A12,[1]Biogasudbytte!$A$2:$C$18,3,FALSE)</f>
        <v>0.05</v>
      </c>
      <c r="I12" s="137">
        <f>VLOOKUP(A12,[1]Biogasudbytte!$A$2:$C$18,2,FALSE)*IFERROR(VLOOKUP(A12,$F$3:$G$8,2,FALSE),1)</f>
        <v>12</v>
      </c>
      <c r="J12" s="136">
        <f t="shared" ref="J12:J28" si="1">C12/C$29</f>
        <v>0.22267199142680771</v>
      </c>
      <c r="K12" s="136">
        <f t="shared" ref="K12:K28" si="2">D12/D$29</f>
        <v>0.24949883692138367</v>
      </c>
      <c r="L12" s="136">
        <f t="shared" ref="L12:L28" si="3">E12/E$29</f>
        <v>1.822117229580476E-2</v>
      </c>
      <c r="M12" s="127" t="s">
        <v>224</v>
      </c>
      <c r="N12" s="127">
        <f>S12+2/3*T12</f>
        <v>2914869.3333333335</v>
      </c>
      <c r="O12" s="154">
        <f t="shared" ref="O12:O16" si="4">N12-C12</f>
        <v>0</v>
      </c>
      <c r="P12" s="143">
        <f>C12*I12</f>
        <v>34978432</v>
      </c>
      <c r="Q12" s="127">
        <f>P12*35.9/1000000000</f>
        <v>1.2557257088</v>
      </c>
      <c r="S12" s="127">
        <v>2517134</v>
      </c>
      <c r="T12" s="127">
        <v>596603</v>
      </c>
    </row>
    <row r="13" spans="1:29" x14ac:dyDescent="0.2">
      <c r="A13" s="129" t="s">
        <v>142</v>
      </c>
      <c r="B13" s="129" t="s">
        <v>145</v>
      </c>
      <c r="C13" s="138">
        <f>SUMIFS('Resultater - Danmark'!H$3:H$482,'Resultater - Danmark'!$F$3:$F$482,$A13)*B4</f>
        <v>4353509.666666667</v>
      </c>
      <c r="D13" s="138">
        <f>SUMIFS('Resultater - Danmark'!I$3:I$482,'Resultater - Danmark'!$F$3:$F$482,$A13)*C4</f>
        <v>4362994.2210802753</v>
      </c>
      <c r="E13" s="138">
        <f>SUMIFS('Resultater - Danmark'!J$3:J$482,'Resultater - Danmark'!$F$3:$F$482,$A13)*D4</f>
        <v>620162.01823236153</v>
      </c>
      <c r="F13" s="253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1377787.6487621926</v>
      </c>
      <c r="G13" s="253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251610.61702420365</v>
      </c>
      <c r="H13" s="139">
        <f>VLOOKUP(A13,[1]Biogasudbytte!$A$2:$C$18,3,FALSE)</f>
        <v>7.5999999999999998E-2</v>
      </c>
      <c r="I13" s="140">
        <f>VLOOKUP(A13,[1]Biogasudbytte!$A$2:$C$18,2,FALSE)*IFERROR(VLOOKUP(A13,$F$3:$G$8,2,FALSE),1)</f>
        <v>14.1</v>
      </c>
      <c r="J13" s="139">
        <f t="shared" si="1"/>
        <v>0.33257225498473725</v>
      </c>
      <c r="K13" s="139">
        <f t="shared" si="2"/>
        <v>0.38949666014531953</v>
      </c>
      <c r="L13" s="139">
        <f t="shared" si="3"/>
        <v>0.15783491034612296</v>
      </c>
      <c r="M13" s="127" t="s">
        <v>225</v>
      </c>
      <c r="N13" s="127">
        <f>S13+1/3*T13</f>
        <v>4353509.666666667</v>
      </c>
      <c r="O13" s="154">
        <f t="shared" si="4"/>
        <v>0</v>
      </c>
      <c r="P13" s="143">
        <f t="shared" ref="P13:P28" si="5">C13*I13</f>
        <v>61384486.300000004</v>
      </c>
      <c r="Q13" s="127">
        <f t="shared" ref="Q13:Q28" si="6">P13*35.9/1000000000</f>
        <v>2.2037030581699999</v>
      </c>
      <c r="S13" s="127">
        <v>4154642</v>
      </c>
      <c r="T13" s="127">
        <v>596603</v>
      </c>
    </row>
    <row r="14" spans="1:29" x14ac:dyDescent="0.2">
      <c r="A14" s="129" t="s">
        <v>143</v>
      </c>
      <c r="B14" s="129" t="s">
        <v>145</v>
      </c>
      <c r="C14" s="138">
        <f>SUMIFS('Resultater - Danmark'!H$3:H$482,'Resultater - Danmark'!$F$3:$F$482,$A14)*B5</f>
        <v>4441.5</v>
      </c>
      <c r="D14" s="138">
        <f>SUMIFS('Resultater - Danmark'!I$3:I$482,'Resultater - Danmark'!$F$3:$F$482,$A14)*C5</f>
        <v>2935.3023376165365</v>
      </c>
      <c r="E14" s="138">
        <f>SUMIFS('Resultater - Danmark'!J$3:J$482,'Resultater - Danmark'!$F$3:$F$482,$A14)*D5</f>
        <v>771.87425449370517</v>
      </c>
      <c r="F14" s="253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2935.3023376165365</v>
      </c>
      <c r="G14" s="253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794.39575103715151</v>
      </c>
      <c r="H14" s="139">
        <f>VLOOKUP(A14,[1]Biogasudbytte!$A$2:$C$18,3,FALSE)</f>
        <v>6.3E-2</v>
      </c>
      <c r="I14" s="140">
        <f>VLOOKUP(A14,[1]Biogasudbytte!$A$2:$C$18,2,FALSE)*IFERROR(VLOOKUP(A14,$F$3:$G$8,2,FALSE),1)</f>
        <v>13.1</v>
      </c>
      <c r="J14" s="139">
        <f t="shared" si="1"/>
        <v>3.3929399119623192E-4</v>
      </c>
      <c r="K14" s="139">
        <f t="shared" si="2"/>
        <v>2.6204262464856349E-4</v>
      </c>
      <c r="L14" s="139">
        <f t="shared" si="3"/>
        <v>1.9644657391908806E-4</v>
      </c>
      <c r="M14" s="131" t="s">
        <v>151</v>
      </c>
      <c r="N14" s="132">
        <v>11417</v>
      </c>
      <c r="O14" s="154">
        <f t="shared" si="4"/>
        <v>6975.5</v>
      </c>
      <c r="P14" s="143">
        <f t="shared" si="5"/>
        <v>58183.65</v>
      </c>
      <c r="Q14" s="127">
        <f t="shared" si="6"/>
        <v>2.0887930350000001E-3</v>
      </c>
    </row>
    <row r="15" spans="1:29" x14ac:dyDescent="0.2">
      <c r="A15" s="129" t="s">
        <v>146</v>
      </c>
      <c r="B15" s="129" t="s">
        <v>145</v>
      </c>
      <c r="C15" s="138">
        <f>SUMIFS('Resultater - Danmark'!H$3:H$482,'Resultater - Danmark'!$F$3:$F$482,$A15)*B6</f>
        <v>2668834</v>
      </c>
      <c r="D15" s="138">
        <f>SUMIFS('Resultater - Danmark'!I$3:I$482,'Resultater - Danmark'!$F$3:$F$482,$A15)*C6</f>
        <v>2746408.2768005705</v>
      </c>
      <c r="E15" s="138">
        <f>SUMIFS('Resultater - Danmark'!J$3:J$482,'Resultater - Danmark'!$F$3:$F$482,$A15)*D6</f>
        <v>2845096.2371242284</v>
      </c>
      <c r="F15" s="253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4495296.7922755908</v>
      </c>
      <c r="G15" s="253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4656828.3734416533</v>
      </c>
      <c r="H15" s="139">
        <f>VLOOKUP(A15,[1]Biogasudbytte!$A$2:$C$18,3,FALSE)</f>
        <v>0.06</v>
      </c>
      <c r="I15" s="140">
        <f>VLOOKUP(A15,[1]Biogasudbytte!$A$2:$C$18,2,FALSE)*IFERROR(VLOOKUP(A15,$F$3:$G$8,2,FALSE),1)</f>
        <v>13.9</v>
      </c>
      <c r="J15" s="139">
        <f t="shared" si="1"/>
        <v>0.20387691989197443</v>
      </c>
      <c r="K15" s="139">
        <f t="shared" si="2"/>
        <v>0.2451795251162224</v>
      </c>
      <c r="L15" s="139">
        <f t="shared" si="3"/>
        <v>0.72409385984735164</v>
      </c>
      <c r="M15" s="141" t="s">
        <v>319</v>
      </c>
      <c r="N15" s="142">
        <f>SUM(S15:Z15)</f>
        <v>2668834</v>
      </c>
      <c r="O15" s="154">
        <f t="shared" si="4"/>
        <v>0</v>
      </c>
      <c r="P15" s="143">
        <f>C15*I15</f>
        <v>37096792.600000001</v>
      </c>
      <c r="Q15" s="127">
        <f t="shared" si="6"/>
        <v>1.3317748543399999</v>
      </c>
      <c r="S15" s="169">
        <v>2666649</v>
      </c>
      <c r="T15" s="127">
        <v>2185</v>
      </c>
      <c r="U15" s="169" t="s">
        <v>321</v>
      </c>
      <c r="V15" s="131"/>
      <c r="W15" s="131"/>
    </row>
    <row r="16" spans="1:29" x14ac:dyDescent="0.2">
      <c r="A16" s="129" t="s">
        <v>103</v>
      </c>
      <c r="B16" s="129" t="s">
        <v>145</v>
      </c>
      <c r="C16" s="138">
        <f>SUMIFS('Resultater - Danmark'!H$3:H$482,'Resultater - Danmark'!$F$3:$F$482,$A16)*B7</f>
        <v>757087</v>
      </c>
      <c r="D16" s="138">
        <f>SUMIFS('Resultater - Danmark'!I$3:I$482,'Resultater - Danmark'!$F$3:$F$482,$A16)*C7</f>
        <v>1081370.4878161605</v>
      </c>
      <c r="E16" s="138">
        <f>SUMIFS('Resultater - Danmark'!J$3:J$482,'Resultater - Danmark'!$F$3:$F$482,$A16)*D7</f>
        <v>306308.41422169888</v>
      </c>
      <c r="F16" s="253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1081370.4878161605</v>
      </c>
      <c r="G16" s="253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307900.50819793821</v>
      </c>
      <c r="H16" s="139">
        <f>VLOOKUP(A16,[1]Biogasudbytte!$A$2:$C$18,3,FALSE)</f>
        <v>0.3</v>
      </c>
      <c r="I16" s="140">
        <f>VLOOKUP(A16,[1]Biogasudbytte!$A$2:$C$18,2,FALSE)*IFERROR(VLOOKUP(A16,$F$3:$G$8,2,FALSE),1)</f>
        <v>60</v>
      </c>
      <c r="J16" s="139">
        <f t="shared" si="1"/>
        <v>5.7835206554718369E-2</v>
      </c>
      <c r="K16" s="139">
        <f t="shared" si="2"/>
        <v>9.6536958804365094E-2</v>
      </c>
      <c r="L16" s="139">
        <f t="shared" si="3"/>
        <v>7.7957307406127954E-2</v>
      </c>
      <c r="M16" s="266" t="s">
        <v>163</v>
      </c>
      <c r="N16" s="267">
        <v>757087</v>
      </c>
      <c r="O16" s="154">
        <f t="shared" si="4"/>
        <v>0</v>
      </c>
      <c r="P16" s="143">
        <f t="shared" si="5"/>
        <v>45425220</v>
      </c>
      <c r="Q16" s="127">
        <f t="shared" si="6"/>
        <v>1.6307653980000001</v>
      </c>
    </row>
    <row r="17" spans="1:23" x14ac:dyDescent="0.2">
      <c r="A17" s="130" t="s">
        <v>217</v>
      </c>
      <c r="B17" s="129" t="s">
        <v>145</v>
      </c>
      <c r="C17" s="138">
        <f>SUMIFS('Resultater - Danmark'!H$3:H$482,'Resultater - Danmark'!$F$3:$F$482,$A17)*B8</f>
        <v>0</v>
      </c>
      <c r="D17" s="138">
        <f>SUMIFS('Resultater - Danmark'!I$3:I$482,'Resultater - Danmark'!$F$3:$F$482,$A17)*C8</f>
        <v>213121.78903035366</v>
      </c>
      <c r="E17" s="138">
        <f>SUMIFS('Resultater - Danmark'!J$3:J$482,'Resultater - Danmark'!$F$3:$F$482,$A17)*D8</f>
        <v>85248.715612141474</v>
      </c>
      <c r="F17" s="253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1918096.1012731828</v>
      </c>
      <c r="G17" s="253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340994.86244856589</v>
      </c>
      <c r="H17" s="139">
        <f>VLOOKUP(A17,[1]Biogasudbytte!$A$2:$C$18,3,FALSE)</f>
        <v>4.2763387558472386E-2</v>
      </c>
      <c r="I17" s="140">
        <f>VLOOKUP(A17,[1]Biogasudbytte!$A$2:$C$18,2,FALSE)*IFERROR(VLOOKUP(A17,$F$3:$G$8,2,FALSE),1)</f>
        <v>15.822453396634783</v>
      </c>
      <c r="J17" s="139">
        <f t="shared" si="1"/>
        <v>0</v>
      </c>
      <c r="K17" s="139">
        <f t="shared" si="2"/>
        <v>1.9025976388060598E-2</v>
      </c>
      <c r="L17" s="139">
        <f t="shared" si="3"/>
        <v>2.1696303530673648E-2</v>
      </c>
      <c r="M17" s="127" t="s">
        <v>155</v>
      </c>
      <c r="N17" s="143"/>
      <c r="O17" s="154"/>
      <c r="P17" s="143">
        <f t="shared" si="5"/>
        <v>0</v>
      </c>
      <c r="Q17" s="127">
        <f t="shared" si="6"/>
        <v>0</v>
      </c>
    </row>
    <row r="18" spans="1:23" x14ac:dyDescent="0.2">
      <c r="A18" s="129" t="s">
        <v>104</v>
      </c>
      <c r="B18" s="129" t="s">
        <v>145</v>
      </c>
      <c r="C18" s="269">
        <f t="shared" ref="C18" si="7">N18</f>
        <v>729134</v>
      </c>
      <c r="D18" s="270"/>
      <c r="E18" s="270"/>
      <c r="F18" s="253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0</v>
      </c>
      <c r="G18" s="253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0</v>
      </c>
      <c r="H18" s="139">
        <f>VLOOKUP(A18,[1]Biogasudbytte!$A$2:$C$18,3,FALSE)</f>
        <v>0.28000000000000003</v>
      </c>
      <c r="I18" s="140">
        <f>VLOOKUP(A18,[1]Biogasudbytte!$A$2:$C$18,2,FALSE)*IFERROR(VLOOKUP(A18,$F$3:$G$8,2,FALSE),1)</f>
        <v>85.410000000000011</v>
      </c>
      <c r="J18" s="139">
        <f t="shared" si="1"/>
        <v>5.5699827755684647E-2</v>
      </c>
      <c r="K18" s="139">
        <f t="shared" si="2"/>
        <v>0</v>
      </c>
      <c r="L18" s="139">
        <f t="shared" si="3"/>
        <v>0</v>
      </c>
      <c r="M18" s="163" t="s">
        <v>317</v>
      </c>
      <c r="N18" s="164">
        <f>SUM(S18:Z18)</f>
        <v>729134</v>
      </c>
      <c r="O18" s="154">
        <f>N18-C18</f>
        <v>0</v>
      </c>
      <c r="P18" s="143">
        <f>C18*I18</f>
        <v>62275334.940000005</v>
      </c>
      <c r="Q18" s="127">
        <f>P18*35.9/1000000000</f>
        <v>2.2356845243460004</v>
      </c>
      <c r="S18" s="127">
        <v>338470</v>
      </c>
      <c r="T18" s="127">
        <v>199809</v>
      </c>
      <c r="U18" s="127">
        <v>60011</v>
      </c>
      <c r="V18" s="127">
        <v>44821</v>
      </c>
      <c r="W18" s="127">
        <v>86023</v>
      </c>
    </row>
    <row r="19" spans="1:23" x14ac:dyDescent="0.2">
      <c r="A19" s="129" t="s">
        <v>105</v>
      </c>
      <c r="B19" s="129" t="s">
        <v>145</v>
      </c>
      <c r="C19" s="269">
        <f>N19</f>
        <v>995654</v>
      </c>
      <c r="D19" s="270"/>
      <c r="E19" s="270"/>
      <c r="F19" s="253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527095.33891758695</v>
      </c>
      <c r="G19" s="253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386031.78774597071</v>
      </c>
      <c r="H19" s="139">
        <f>VLOOKUP(A19,[1]Biogasudbytte!$A$2:$C$18,3,FALSE)</f>
        <v>0.42</v>
      </c>
      <c r="I19" s="140">
        <f>VLOOKUP(A19,[1]Biogasudbytte!$A$2:$C$18,2,FALSE)*IFERROR(VLOOKUP(A19,$F$3:$G$8,2,FALSE),1)</f>
        <v>108.63000000000001</v>
      </c>
      <c r="J19" s="139">
        <f t="shared" si="1"/>
        <v>7.6059758980185313E-2</v>
      </c>
      <c r="K19" s="139">
        <f t="shared" si="2"/>
        <v>0</v>
      </c>
      <c r="L19" s="139">
        <f t="shared" si="3"/>
        <v>0</v>
      </c>
      <c r="M19" s="165" t="s">
        <v>318</v>
      </c>
      <c r="N19" s="166">
        <f>SUM(S19:Z19)</f>
        <v>995654</v>
      </c>
      <c r="O19" s="154">
        <f>N19-C19</f>
        <v>0</v>
      </c>
      <c r="P19" s="143">
        <f>C19*I19</f>
        <v>108157894.02000001</v>
      </c>
      <c r="Q19" s="127">
        <f>P19*35.9/1000000000</f>
        <v>3.8828683953180003</v>
      </c>
      <c r="S19" s="127">
        <v>995654</v>
      </c>
    </row>
    <row r="20" spans="1:23" x14ac:dyDescent="0.2">
      <c r="A20" s="129" t="s">
        <v>69</v>
      </c>
      <c r="B20" s="129" t="s">
        <v>145</v>
      </c>
      <c r="C20" s="269">
        <f>N20</f>
        <v>75934</v>
      </c>
      <c r="D20" s="270"/>
      <c r="E20" s="270"/>
      <c r="F20" s="253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1062469.4398652355</v>
      </c>
      <c r="G20" s="253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536748.67129289638</v>
      </c>
      <c r="H20" s="139">
        <f>VLOOKUP(A20,[1]Biogasudbytte!$A$2:$C$18,3,FALSE)</f>
        <v>0.85</v>
      </c>
      <c r="I20" s="140">
        <f>VLOOKUP(A20,[1]Biogasudbytte!$A$2:$C$18,2,FALSE)*IFERROR(VLOOKUP(A20,$F$3:$G$8,2,FALSE),1)</f>
        <v>160.6</v>
      </c>
      <c r="J20" s="139">
        <f t="shared" si="1"/>
        <v>5.8007317184497744E-3</v>
      </c>
      <c r="K20" s="139">
        <f t="shared" si="2"/>
        <v>0</v>
      </c>
      <c r="L20" s="139">
        <f t="shared" si="3"/>
        <v>0</v>
      </c>
      <c r="M20" s="127" t="s">
        <v>152</v>
      </c>
      <c r="N20" s="143">
        <v>75934</v>
      </c>
      <c r="O20" s="154">
        <f t="shared" ref="O20:O28" si="8">N20-C20</f>
        <v>0</v>
      </c>
      <c r="P20" s="143">
        <f t="shared" si="5"/>
        <v>12195000.4</v>
      </c>
      <c r="Q20" s="127">
        <f t="shared" si="6"/>
        <v>0.43780051436</v>
      </c>
    </row>
    <row r="21" spans="1:23" x14ac:dyDescent="0.2">
      <c r="A21" s="129" t="s">
        <v>49</v>
      </c>
      <c r="B21" s="129" t="s">
        <v>145</v>
      </c>
      <c r="C21" s="269">
        <f t="shared" ref="C21:C28" si="9">N21</f>
        <v>3786</v>
      </c>
      <c r="D21" s="270"/>
      <c r="E21" s="270"/>
      <c r="F21" s="253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195159.40515559528</v>
      </c>
      <c r="G21" s="253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192606.70069262292</v>
      </c>
      <c r="H21" s="139">
        <f>VLOOKUP(A21,[1]Biogasudbytte!$A$2:$C$18,3,FALSE)</f>
        <v>0.31</v>
      </c>
      <c r="I21" s="140">
        <f>VLOOKUP(A21,[1]Biogasudbytte!$A$2:$C$18,2,FALSE)*IFERROR(VLOOKUP(A21,$F$3:$G$8,2,FALSE),1)</f>
        <v>95.4</v>
      </c>
      <c r="J21" s="139">
        <f t="shared" si="1"/>
        <v>2.8921919411661239E-4</v>
      </c>
      <c r="K21" s="139">
        <f t="shared" si="2"/>
        <v>0</v>
      </c>
      <c r="L21" s="139">
        <f t="shared" si="3"/>
        <v>0</v>
      </c>
      <c r="M21" s="127" t="s">
        <v>164</v>
      </c>
      <c r="N21" s="143">
        <v>3786</v>
      </c>
      <c r="O21" s="154">
        <f t="shared" si="8"/>
        <v>0</v>
      </c>
      <c r="P21" s="143">
        <f t="shared" si="5"/>
        <v>361184.4</v>
      </c>
      <c r="Q21" s="127">
        <f t="shared" si="6"/>
        <v>1.2966519960000001E-2</v>
      </c>
    </row>
    <row r="22" spans="1:23" x14ac:dyDescent="0.2">
      <c r="A22" s="129" t="s">
        <v>52</v>
      </c>
      <c r="B22" s="129" t="s">
        <v>145</v>
      </c>
      <c r="C22" s="269">
        <f t="shared" si="9"/>
        <v>85677</v>
      </c>
      <c r="D22" s="270"/>
      <c r="E22" s="270"/>
      <c r="F22" s="253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4815943.3305358477</v>
      </c>
      <c r="G22" s="253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1323410.9117299279</v>
      </c>
      <c r="H22" s="139">
        <f>VLOOKUP(A22,[1]Biogasudbytte!$A$2:$C$18,3,FALSE)</f>
        <v>0.28000000000000003</v>
      </c>
      <c r="I22" s="140">
        <f>VLOOKUP(A22,[1]Biogasudbytte!$A$2:$C$18,2,FALSE)*IFERROR(VLOOKUP(A22,$F$3:$G$8,2,FALSE),1)</f>
        <v>51.25</v>
      </c>
      <c r="J22" s="139">
        <f t="shared" si="1"/>
        <v>6.5450166123425784E-3</v>
      </c>
      <c r="K22" s="139">
        <f t="shared" si="2"/>
        <v>0</v>
      </c>
      <c r="L22" s="139">
        <f t="shared" si="3"/>
        <v>0</v>
      </c>
      <c r="M22" s="167" t="s">
        <v>320</v>
      </c>
      <c r="N22" s="168">
        <f>SUM(S22:Z22)</f>
        <v>85677</v>
      </c>
      <c r="O22" s="154">
        <f t="shared" si="8"/>
        <v>0</v>
      </c>
      <c r="P22" s="143">
        <f t="shared" si="5"/>
        <v>4390946.25</v>
      </c>
      <c r="Q22" s="127">
        <f t="shared" si="6"/>
        <v>0.15763497037499999</v>
      </c>
      <c r="S22" s="127">
        <v>66010</v>
      </c>
      <c r="T22" s="127">
        <v>2139</v>
      </c>
      <c r="U22" s="127">
        <v>14273</v>
      </c>
      <c r="V22" s="127">
        <v>3255</v>
      </c>
    </row>
    <row r="23" spans="1:23" x14ac:dyDescent="0.2">
      <c r="A23" s="129" t="s">
        <v>54</v>
      </c>
      <c r="B23" s="129" t="s">
        <v>145</v>
      </c>
      <c r="C23" s="269">
        <f t="shared" si="9"/>
        <v>330026</v>
      </c>
      <c r="D23" s="270"/>
      <c r="E23" s="270"/>
      <c r="F23" s="253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691370.57654557144</v>
      </c>
      <c r="G23" s="253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278565.49059983634</v>
      </c>
      <c r="H23" s="139">
        <f>VLOOKUP(A23,[1]Biogasudbytte!$A$2:$C$18,3,FALSE)</f>
        <v>0.3</v>
      </c>
      <c r="I23" s="140">
        <f>VLOOKUP(A23,[1]Biogasudbytte!$A$2:$C$18,2,FALSE)*IFERROR(VLOOKUP(A23,$F$3:$G$8,2,FALSE),1)</f>
        <v>100</v>
      </c>
      <c r="J23" s="139">
        <f t="shared" si="1"/>
        <v>2.5211266180012976E-2</v>
      </c>
      <c r="K23" s="139">
        <f t="shared" si="2"/>
        <v>0</v>
      </c>
      <c r="L23" s="139">
        <f t="shared" si="3"/>
        <v>0</v>
      </c>
      <c r="M23" s="127" t="s">
        <v>153</v>
      </c>
      <c r="N23" s="143">
        <v>330026</v>
      </c>
      <c r="O23" s="154">
        <f t="shared" si="8"/>
        <v>0</v>
      </c>
      <c r="P23" s="143">
        <f t="shared" si="5"/>
        <v>33002600</v>
      </c>
      <c r="Q23" s="127">
        <f t="shared" si="6"/>
        <v>1.1847933399999999</v>
      </c>
    </row>
    <row r="24" spans="1:23" x14ac:dyDescent="0.2">
      <c r="A24" s="129" t="s">
        <v>53</v>
      </c>
      <c r="B24" s="129" t="s">
        <v>145</v>
      </c>
      <c r="C24" s="269">
        <f t="shared" si="9"/>
        <v>28645</v>
      </c>
      <c r="D24" s="270"/>
      <c r="E24" s="270"/>
      <c r="F24" s="253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199263.33288089727</v>
      </c>
      <c r="G24" s="253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209902.43302081007</v>
      </c>
      <c r="H24" s="139">
        <f>VLOOKUP(A24,[1]Biogasudbytte!$A$2:$C$18,3,FALSE)</f>
        <v>0.2</v>
      </c>
      <c r="I24" s="140">
        <f>VLOOKUP(A24,[1]Biogasudbytte!$A$2:$C$18,2,FALSE)*IFERROR(VLOOKUP(A24,$F$3:$G$8,2,FALSE),1)</f>
        <v>75.599999999999994</v>
      </c>
      <c r="J24" s="139">
        <f t="shared" si="1"/>
        <v>2.1882418952642265E-3</v>
      </c>
      <c r="K24" s="139">
        <f t="shared" si="2"/>
        <v>0</v>
      </c>
      <c r="L24" s="139">
        <f t="shared" si="3"/>
        <v>0</v>
      </c>
      <c r="M24" s="127" t="s">
        <v>154</v>
      </c>
      <c r="N24" s="143">
        <v>28645</v>
      </c>
      <c r="O24" s="154">
        <f t="shared" si="8"/>
        <v>0</v>
      </c>
      <c r="P24" s="143">
        <f t="shared" si="5"/>
        <v>2165562</v>
      </c>
      <c r="Q24" s="127">
        <f t="shared" si="6"/>
        <v>7.7743675799999995E-2</v>
      </c>
    </row>
    <row r="25" spans="1:23" x14ac:dyDescent="0.2">
      <c r="A25" s="130" t="s">
        <v>169</v>
      </c>
      <c r="B25" s="129" t="s">
        <v>145</v>
      </c>
      <c r="C25" s="269">
        <f t="shared" si="9"/>
        <v>78</v>
      </c>
      <c r="D25" s="270"/>
      <c r="E25" s="270"/>
      <c r="F25" s="253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982809</v>
      </c>
      <c r="G25" s="253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982809</v>
      </c>
      <c r="H25" s="139">
        <f>VLOOKUP(A25,[1]Biogasudbytte!$A$2:$C$18,3,FALSE)</f>
        <v>0.3</v>
      </c>
      <c r="I25" s="140">
        <f>VLOOKUP(A25,[1]Biogasudbytte!$A$2:$C$18,2,FALSE)*IFERROR(VLOOKUP(A25,$F$3:$G$8,2,FALSE),1)</f>
        <v>47.3</v>
      </c>
      <c r="J25" s="139">
        <f t="shared" si="1"/>
        <v>5.9585570895657067E-6</v>
      </c>
      <c r="K25" s="139">
        <f t="shared" si="2"/>
        <v>0</v>
      </c>
      <c r="L25" s="139">
        <f t="shared" si="3"/>
        <v>0</v>
      </c>
      <c r="M25" s="127" t="s">
        <v>170</v>
      </c>
      <c r="N25" s="143">
        <v>78</v>
      </c>
      <c r="O25" s="154">
        <f t="shared" si="8"/>
        <v>0</v>
      </c>
      <c r="P25" s="143">
        <f t="shared" si="5"/>
        <v>3689.3999999999996</v>
      </c>
      <c r="Q25" s="127">
        <f t="shared" si="6"/>
        <v>1.3244945999999998E-4</v>
      </c>
    </row>
    <row r="26" spans="1:23" x14ac:dyDescent="0.2">
      <c r="A26" s="130" t="s">
        <v>165</v>
      </c>
      <c r="B26" s="130" t="s">
        <v>145</v>
      </c>
      <c r="C26" s="269">
        <f t="shared" si="9"/>
        <v>142742</v>
      </c>
      <c r="D26" s="270"/>
      <c r="E26" s="270"/>
      <c r="F26" s="253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0</v>
      </c>
      <c r="G26" s="253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0</v>
      </c>
      <c r="H26" s="139">
        <f>VLOOKUP(A26,[1]Biogasudbytte!$A$2:$C$18,3,FALSE)</f>
        <v>0.9</v>
      </c>
      <c r="I26" s="140">
        <f>VLOOKUP(A26,[1]Biogasudbytte!$A$2:$C$18,2,FALSE)*IFERROR(VLOOKUP(A26,$F$3:$G$8,2,FALSE),1)</f>
        <v>423.36</v>
      </c>
      <c r="J26" s="139">
        <f t="shared" si="1"/>
        <v>1.090431225742036E-2</v>
      </c>
      <c r="K26" s="139">
        <f t="shared" si="2"/>
        <v>0</v>
      </c>
      <c r="L26" s="139">
        <f t="shared" si="3"/>
        <v>0</v>
      </c>
      <c r="M26" s="127" t="s">
        <v>168</v>
      </c>
      <c r="N26" s="127">
        <v>142742</v>
      </c>
      <c r="O26" s="154">
        <f t="shared" si="8"/>
        <v>0</v>
      </c>
      <c r="P26" s="143">
        <f t="shared" si="5"/>
        <v>60431253.120000005</v>
      </c>
      <c r="Q26" s="127">
        <f t="shared" si="6"/>
        <v>2.169481987008</v>
      </c>
    </row>
    <row r="27" spans="1:23" x14ac:dyDescent="0.2">
      <c r="A27" s="129" t="s">
        <v>109</v>
      </c>
      <c r="B27" s="129" t="s">
        <v>145</v>
      </c>
      <c r="C27" s="269">
        <f t="shared" si="9"/>
        <v>0</v>
      </c>
      <c r="D27" s="270">
        <v>0</v>
      </c>
      <c r="E27" s="270">
        <v>0</v>
      </c>
      <c r="F27" s="253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3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39">
        <f>VLOOKUP(A27,[1]Biogasudbytte!$A$2:$C$18,3,FALSE)</f>
        <v>0.15</v>
      </c>
      <c r="I27" s="140">
        <f>VLOOKUP(A27,[1]Biogasudbytte!$A$2:$C$18,2,FALSE)*IFERROR(VLOOKUP(A27,$F$3:$G$8,2,FALSE),1)</f>
        <v>25</v>
      </c>
      <c r="J27" s="139">
        <f t="shared" si="1"/>
        <v>0</v>
      </c>
      <c r="K27" s="139">
        <f t="shared" si="2"/>
        <v>0</v>
      </c>
      <c r="L27" s="139">
        <f t="shared" si="3"/>
        <v>0</v>
      </c>
      <c r="M27" s="127" t="s">
        <v>155</v>
      </c>
      <c r="O27" s="154">
        <f t="shared" si="8"/>
        <v>0</v>
      </c>
      <c r="P27" s="143">
        <f t="shared" si="5"/>
        <v>0</v>
      </c>
      <c r="Q27" s="127">
        <f t="shared" si="6"/>
        <v>0</v>
      </c>
    </row>
    <row r="28" spans="1:23" ht="12.75" thickBot="1" x14ac:dyDescent="0.25">
      <c r="A28" s="144" t="s">
        <v>101</v>
      </c>
      <c r="B28" s="144" t="s">
        <v>145</v>
      </c>
      <c r="C28" s="271">
        <f t="shared" si="9"/>
        <v>0</v>
      </c>
      <c r="D28" s="272">
        <v>0</v>
      </c>
      <c r="E28" s="272">
        <v>0</v>
      </c>
      <c r="F28" s="254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12539.656520911765</v>
      </c>
      <c r="G28" s="254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16907.931304182352</v>
      </c>
      <c r="H28" s="145">
        <f>VLOOKUP(A28,[1]Biogasudbytte!$A$2:$C$18,3,FALSE)</f>
        <v>0.15</v>
      </c>
      <c r="I28" s="146">
        <f>VLOOKUP(A28,[1]Biogasudbytte!$A$2:$C$18,2,FALSE)*IFERROR(VLOOKUP(A28,$F$3:$G$8,2,FALSE),1)</f>
        <v>25</v>
      </c>
      <c r="J28" s="145">
        <f t="shared" si="1"/>
        <v>0</v>
      </c>
      <c r="K28" s="145">
        <f t="shared" si="2"/>
        <v>0</v>
      </c>
      <c r="L28" s="145">
        <f t="shared" si="3"/>
        <v>0</v>
      </c>
      <c r="M28" s="127" t="s">
        <v>155</v>
      </c>
      <c r="O28" s="154">
        <f t="shared" si="8"/>
        <v>0</v>
      </c>
      <c r="P28" s="143">
        <f t="shared" si="5"/>
        <v>0</v>
      </c>
      <c r="Q28" s="127">
        <f t="shared" si="6"/>
        <v>0</v>
      </c>
    </row>
    <row r="29" spans="1:23" x14ac:dyDescent="0.2">
      <c r="A29" s="127" t="s">
        <v>106</v>
      </c>
      <c r="B29" s="127" t="s">
        <v>145</v>
      </c>
      <c r="C29" s="147">
        <f>SUM(C12:C28)</f>
        <v>13090417.5</v>
      </c>
      <c r="D29" s="147">
        <f>SUM(D12:D28)</f>
        <v>11201621.650497492</v>
      </c>
      <c r="E29" s="147">
        <f>SUM(E12:E28)</f>
        <v>3929181.5535129816</v>
      </c>
      <c r="F29" s="147"/>
      <c r="G29" s="147"/>
      <c r="H29" s="148"/>
      <c r="I29" s="148"/>
      <c r="J29" s="149">
        <f>SUM(J12:J28)</f>
        <v>1</v>
      </c>
      <c r="K29" s="149">
        <f>SUM(K12:K28)</f>
        <v>0.99999999999999989</v>
      </c>
      <c r="L29" s="149">
        <f>SUM(L12:L28)</f>
        <v>1</v>
      </c>
      <c r="N29" s="127">
        <f>SUM(N12:N28)</f>
        <v>13097393</v>
      </c>
      <c r="P29" s="143">
        <f>SUM(P12:P28)</f>
        <v>461926579.07999992</v>
      </c>
      <c r="Q29" s="127">
        <f>P29*35.9/1000000000</f>
        <v>16.583164188971995</v>
      </c>
    </row>
    <row r="30" spans="1:23" x14ac:dyDescent="0.2">
      <c r="A30" s="150" t="s">
        <v>126</v>
      </c>
      <c r="C30" s="151">
        <f>SUMPRODUCT(C12:C28,$H$12:$H$28)/C29</f>
        <v>0.13822427556900557</v>
      </c>
      <c r="D30" s="151">
        <f>SUMPRODUCT(D12:D28,$H$12:$H$28)/D29</f>
        <v>8.6578671052710179E-2</v>
      </c>
      <c r="E30" s="151">
        <f>SUMPRODUCT(E12:E28,$H$12:$H$28)/E29</f>
        <v>8.0679519184400417E-2</v>
      </c>
      <c r="F30" s="162"/>
      <c r="G30" s="162"/>
    </row>
    <row r="31" spans="1:23" x14ac:dyDescent="0.2">
      <c r="A31" s="150" t="s">
        <v>167</v>
      </c>
      <c r="C31" s="151">
        <f>SUM(C21:C24)/C29</f>
        <v>3.4233743881736389E-2</v>
      </c>
      <c r="D31" s="151">
        <f>SUM(D21:D24)/D29</f>
        <v>0</v>
      </c>
      <c r="E31" s="151">
        <f>SUM(E21:E24)/E29</f>
        <v>0</v>
      </c>
      <c r="F31" s="162"/>
      <c r="G31" s="162"/>
    </row>
    <row r="32" spans="1:23" x14ac:dyDescent="0.2">
      <c r="A32" s="127" t="s">
        <v>148</v>
      </c>
      <c r="B32" s="127" t="s">
        <v>149</v>
      </c>
      <c r="C32" s="127">
        <f>SUMPRODUCT(C12:C28,$I$12:$I$28)</f>
        <v>461926579.07999992</v>
      </c>
      <c r="D32" s="127">
        <f>SUMPRODUCT(D12:D28,$I$12:$I$28)</f>
        <v>201523583.75028259</v>
      </c>
      <c r="E32" s="127">
        <f>SUMPRODUCT(E12:E28,$I$12:$I$28)</f>
        <v>68887713.917851642</v>
      </c>
    </row>
    <row r="33" spans="1:15" x14ac:dyDescent="0.2">
      <c r="A33" s="127" t="s">
        <v>148</v>
      </c>
      <c r="B33" s="127" t="s">
        <v>125</v>
      </c>
      <c r="C33" s="127">
        <f>C32*[1]Energiindhold!$C$10</f>
        <v>16.583164188971999</v>
      </c>
      <c r="D33" s="127">
        <f>D32*[1]Energiindhold!$C$10</f>
        <v>7.2346966566351458</v>
      </c>
      <c r="E33" s="127">
        <f>E32*[1]Energiindhold!$C$10</f>
        <v>2.4730689296508741</v>
      </c>
    </row>
    <row r="34" spans="1:15" x14ac:dyDescent="0.2">
      <c r="C34" s="273"/>
    </row>
    <row r="35" spans="1:15" x14ac:dyDescent="0.2">
      <c r="A35" s="182"/>
      <c r="B35" s="182" t="s">
        <v>28</v>
      </c>
      <c r="C35" s="182" t="s">
        <v>29</v>
      </c>
    </row>
    <row r="36" spans="1:15" x14ac:dyDescent="0.2">
      <c r="A36" s="182" t="s">
        <v>165</v>
      </c>
      <c r="B36" s="183">
        <v>0.8</v>
      </c>
      <c r="C36" s="183">
        <v>0.2</v>
      </c>
    </row>
    <row r="38" spans="1:15" hidden="1" x14ac:dyDescent="0.2">
      <c r="C38" s="133">
        <f>År1</f>
        <v>2019</v>
      </c>
      <c r="D38" s="133">
        <f>År2</f>
        <v>2030</v>
      </c>
      <c r="E38" s="133">
        <f>År3</f>
        <v>2050</v>
      </c>
      <c r="F38" s="133" t="s">
        <v>107</v>
      </c>
      <c r="G38" s="133" t="s">
        <v>150</v>
      </c>
      <c r="K38" s="133">
        <f>År1</f>
        <v>2019</v>
      </c>
      <c r="L38" s="133">
        <f>År2</f>
        <v>2030</v>
      </c>
      <c r="M38" s="133">
        <f>År3</f>
        <v>2050</v>
      </c>
      <c r="N38" s="133" t="s">
        <v>107</v>
      </c>
      <c r="O38" s="133" t="s">
        <v>150</v>
      </c>
    </row>
    <row r="39" spans="1:15" hidden="1" x14ac:dyDescent="0.2">
      <c r="A39" s="134" t="str">
        <f t="shared" ref="A39:A55" si="10">A12</f>
        <v>Svinegylle</v>
      </c>
      <c r="B39" s="134" t="s">
        <v>145</v>
      </c>
      <c r="C39" s="135">
        <f>SUMIFS('Resultater - Vestdanmark'!H$3:H$482,'Resultater - Vestdanmark'!$F$3:$F$482,$A39)*B3</f>
        <v>2534442.072977222</v>
      </c>
      <c r="D39" s="135">
        <f>SUMIFS('Resultater - Vestdanmark'!I$3:I$482,'Resultater - Vestdanmark'!$F$3:$F$482,$A39)*C3</f>
        <v>2441085.3486593938</v>
      </c>
      <c r="E39" s="135">
        <f>SUMIFS('Resultater - Vestdanmark'!J$3:J$482,'Resultater - Vestdanmark'!$F$3:$F$482,$A39)*D3</f>
        <v>62533.3867321281</v>
      </c>
      <c r="F39" s="136">
        <f>VLOOKUP(A39,[1]Biogasudbytte!$A$2:$C$18,3,FALSE)</f>
        <v>0.05</v>
      </c>
      <c r="G39" s="137">
        <f t="shared" ref="G39:G55" si="11">I12</f>
        <v>12</v>
      </c>
      <c r="I39" s="134" t="str">
        <f>A39</f>
        <v>Svinegylle</v>
      </c>
      <c r="J39" s="134" t="s">
        <v>145</v>
      </c>
      <c r="K39" s="135">
        <f>SUMIFS('Resultater - Østdanmark'!H$3:H$482,'Resultater - Østdanmark'!$F$3:$F$482,$A39)*B3</f>
        <v>380427.26035611134</v>
      </c>
      <c r="L39" s="135">
        <f>SUMIFS('Resultater - Østdanmark'!I$3:I$482,'Resultater - Østdanmark'!$F$3:$F$482,$A39)*C3</f>
        <v>353706.22477312014</v>
      </c>
      <c r="M39" s="135">
        <f>SUMIFS('Resultater - Østdanmark'!J$3:J$482,'Resultater - Østdanmark'!$F$3:$F$482,$A39)*D3</f>
        <v>9060.9073359297563</v>
      </c>
      <c r="N39" s="136">
        <f>VLOOKUP(I39,[1]Biogasudbytte!$A$2:$C$18,3,FALSE)</f>
        <v>0.05</v>
      </c>
      <c r="O39" s="137">
        <f t="shared" ref="O39:O55" si="12">I12</f>
        <v>12</v>
      </c>
    </row>
    <row r="40" spans="1:15" hidden="1" x14ac:dyDescent="0.2">
      <c r="A40" s="129" t="str">
        <f t="shared" si="10"/>
        <v>Kvæggylle</v>
      </c>
      <c r="B40" s="129" t="s">
        <v>145</v>
      </c>
      <c r="C40" s="138">
        <f>SUMIFS('Resultater - Vestdanmark'!H$3:H$482,'Resultater - Vestdanmark'!$F$3:$F$482,$A40)*B4</f>
        <v>4066864.6068164087</v>
      </c>
      <c r="D40" s="138">
        <f>SUMIFS('Resultater - Vestdanmark'!I$3:I$482,'Resultater - Vestdanmark'!$F$3:$F$482,$A40)*C4</f>
        <v>4073475.9513422842</v>
      </c>
      <c r="E40" s="138">
        <f>SUMIFS('Resultater - Vestdanmark'!J$3:J$482,'Resultater - Vestdanmark'!$F$3:$F$482,$A40)*D4</f>
        <v>579009.4919217953</v>
      </c>
      <c r="F40" s="139">
        <f>VLOOKUP(A40,[1]Biogasudbytte!$A$2:$C$18,3,FALSE)</f>
        <v>7.5999999999999998E-2</v>
      </c>
      <c r="G40" s="140">
        <f t="shared" si="11"/>
        <v>14.1</v>
      </c>
      <c r="I40" s="129" t="str">
        <f t="shared" ref="I40:I55" si="13">A40</f>
        <v>Kvæggylle</v>
      </c>
      <c r="J40" s="129" t="s">
        <v>145</v>
      </c>
      <c r="K40" s="138">
        <f>SUMIFS('Resultater - Østdanmark'!H$3:H$482,'Resultater - Østdanmark'!$F$3:$F$482,$A40)*B4</f>
        <v>286645.05985025823</v>
      </c>
      <c r="L40" s="138">
        <f>SUMIFS('Resultater - Østdanmark'!I$3:I$482,'Resultater - Østdanmark'!$F$3:$F$482,$A40)*C4</f>
        <v>289518.26973799191</v>
      </c>
      <c r="M40" s="138">
        <f>SUMIFS('Resultater - Østdanmark'!J$3:J$482,'Resultater - Østdanmark'!$F$3:$F$482,$A40)*D4</f>
        <v>41152.526310566187</v>
      </c>
      <c r="N40" s="139">
        <f>VLOOKUP(I40,[1]Biogasudbytte!$A$2:$C$18,3,FALSE)</f>
        <v>7.5999999999999998E-2</v>
      </c>
      <c r="O40" s="140">
        <f t="shared" si="12"/>
        <v>14.1</v>
      </c>
    </row>
    <row r="41" spans="1:15" hidden="1" x14ac:dyDescent="0.2">
      <c r="A41" s="129" t="str">
        <f t="shared" si="10"/>
        <v>Fjerkrægylle</v>
      </c>
      <c r="B41" s="129" t="s">
        <v>145</v>
      </c>
      <c r="C41" s="138">
        <f>SUMIFS('Resultater - Vestdanmark'!H$3:H$482,'Resultater - Vestdanmark'!$F$3:$F$482,$A41)*B5</f>
        <v>4103.8061780475591</v>
      </c>
      <c r="D41" s="138">
        <f>SUMIFS('Resultater - Vestdanmark'!I$3:I$482,'Resultater - Vestdanmark'!$F$3:$F$482,$A41)*C5</f>
        <v>2708.0192790862607</v>
      </c>
      <c r="E41" s="138">
        <f>SUMIFS('Resultater - Vestdanmark'!J$3:J$482,'Resultater - Vestdanmark'!$F$3:$F$482,$A41)*D5</f>
        <v>712.10734765283848</v>
      </c>
      <c r="F41" s="139">
        <f>VLOOKUP(A41,[1]Biogasudbytte!$A$2:$C$18,3,FALSE)</f>
        <v>6.3E-2</v>
      </c>
      <c r="G41" s="140">
        <f t="shared" si="11"/>
        <v>13.1</v>
      </c>
      <c r="I41" s="129" t="str">
        <f t="shared" si="13"/>
        <v>Fjerkrægylle</v>
      </c>
      <c r="J41" s="129" t="s">
        <v>145</v>
      </c>
      <c r="K41" s="138">
        <f>SUMIFS('Resultater - Østdanmark'!H$3:H$482,'Resultater - Østdanmark'!$F$3:$F$482,$A41)*B5</f>
        <v>337.693821952441</v>
      </c>
      <c r="L41" s="138">
        <f>SUMIFS('Resultater - Østdanmark'!I$3:I$482,'Resultater - Østdanmark'!$F$3:$F$482,$A41)*C5</f>
        <v>227.28305853027575</v>
      </c>
      <c r="M41" s="138">
        <f>SUMIFS('Resultater - Østdanmark'!J$3:J$482,'Resultater - Østdanmark'!$F$3:$F$482,$A41)*D5</f>
        <v>59.766906840866696</v>
      </c>
      <c r="N41" s="139">
        <f>VLOOKUP(I41,[1]Biogasudbytte!$A$2:$C$18,3,FALSE)</f>
        <v>6.3E-2</v>
      </c>
      <c r="O41" s="140">
        <f t="shared" si="12"/>
        <v>13.1</v>
      </c>
    </row>
    <row r="42" spans="1:15" hidden="1" x14ac:dyDescent="0.2">
      <c r="A42" s="129" t="str">
        <f t="shared" si="10"/>
        <v>Spildevandsslam</v>
      </c>
      <c r="B42" s="129" t="s">
        <v>145</v>
      </c>
      <c r="C42" s="138">
        <f>SUMIFS('Resultater - Vestdanmark'!H$3:H$482,'Resultater - Vestdanmark'!$F$3:$F$482,$A42)*B6</f>
        <v>1460182.5874658169</v>
      </c>
      <c r="D42" s="138">
        <f>SUMIFS('Resultater - Vestdanmark'!I$3:I$482,'Resultater - Vestdanmark'!$F$3:$F$482,$A42)*C6</f>
        <v>1480098.7941273053</v>
      </c>
      <c r="E42" s="138">
        <f>SUMIFS('Resultater - Vestdanmark'!J$3:J$482,'Resultater - Vestdanmark'!$F$3:$F$482,$A42)*D6</f>
        <v>1520643.2255533286</v>
      </c>
      <c r="F42" s="139">
        <f>VLOOKUP(A42,[1]Biogasudbytte!$A$2:$C$18,3,FALSE)</f>
        <v>0.06</v>
      </c>
      <c r="G42" s="140">
        <f t="shared" si="11"/>
        <v>13.9</v>
      </c>
      <c r="I42" s="129" t="str">
        <f t="shared" si="13"/>
        <v>Spildevandsslam</v>
      </c>
      <c r="J42" s="129" t="s">
        <v>145</v>
      </c>
      <c r="K42" s="138">
        <f>SUMIFS('Resultater - Østdanmark'!H$3:H$482,'Resultater - Østdanmark'!$F$3:$F$482,$A42)*B6</f>
        <v>1208651.4125341829</v>
      </c>
      <c r="L42" s="138">
        <f>SUMIFS('Resultater - Østdanmark'!I$3:I$482,'Resultater - Østdanmark'!$F$3:$F$482,$A42)*C6</f>
        <v>1266309.4826732657</v>
      </c>
      <c r="M42" s="138">
        <f>SUMIFS('Resultater - Østdanmark'!J$3:J$482,'Resultater - Østdanmark'!$F$3:$F$482,$A42)*D6</f>
        <v>1324453.0115708997</v>
      </c>
      <c r="N42" s="139">
        <f>VLOOKUP(I42,[1]Biogasudbytte!$A$2:$C$18,3,FALSE)</f>
        <v>0.06</v>
      </c>
      <c r="O42" s="140">
        <f t="shared" si="12"/>
        <v>13.9</v>
      </c>
    </row>
    <row r="43" spans="1:15" hidden="1" x14ac:dyDescent="0.2">
      <c r="A43" s="129" t="str">
        <f t="shared" si="10"/>
        <v>Dybstrøelse</v>
      </c>
      <c r="B43" s="129" t="s">
        <v>145</v>
      </c>
      <c r="C43" s="138">
        <f>SUMIFS('Resultater - Vestdanmark'!H$3:H$482,'Resultater - Vestdanmark'!$F$3:$F$482,$A43)*B7</f>
        <v>671194.67155029252</v>
      </c>
      <c r="D43" s="138">
        <f>SUMIFS('Resultater - Vestdanmark'!I$3:I$482,'Resultater - Vestdanmark'!$F$3:$F$482,$A43)*C7</f>
        <v>948506.12254502962</v>
      </c>
      <c r="E43" s="138">
        <f>SUMIFS('Resultater - Vestdanmark'!J$3:J$482,'Resultater - Vestdanmark'!$F$3:$F$482,$A43)*D7</f>
        <v>267858.6677775862</v>
      </c>
      <c r="F43" s="139">
        <f>VLOOKUP(A43,[1]Biogasudbytte!$A$2:$C$18,3,FALSE)</f>
        <v>0.3</v>
      </c>
      <c r="G43" s="140">
        <f t="shared" si="11"/>
        <v>60</v>
      </c>
      <c r="I43" s="129" t="str">
        <f t="shared" si="13"/>
        <v>Dybstrøelse</v>
      </c>
      <c r="J43" s="129" t="s">
        <v>145</v>
      </c>
      <c r="K43" s="138">
        <f>SUMIFS('Resultater - Østdanmark'!H$3:H$482,'Resultater - Østdanmark'!$F$3:$F$482,$A43)*B7</f>
        <v>85892.328449707566</v>
      </c>
      <c r="L43" s="138">
        <f>SUMIFS('Resultater - Østdanmark'!I$3:I$482,'Resultater - Østdanmark'!$F$3:$F$482,$A43)*C7</f>
        <v>132864.36527113101</v>
      </c>
      <c r="M43" s="138">
        <f>SUMIFS('Resultater - Østdanmark'!J$3:J$482,'Resultater - Østdanmark'!$F$3:$F$482,$A43)*D7</f>
        <v>38449.746444112672</v>
      </c>
      <c r="N43" s="139">
        <f>VLOOKUP(I43,[1]Biogasudbytte!$A$2:$C$18,3,FALSE)</f>
        <v>0.3</v>
      </c>
      <c r="O43" s="140">
        <f t="shared" si="12"/>
        <v>60</v>
      </c>
    </row>
    <row r="44" spans="1:15" hidden="1" x14ac:dyDescent="0.2">
      <c r="A44" s="130" t="str">
        <f t="shared" si="10"/>
        <v>Brun saft</v>
      </c>
      <c r="B44" s="129" t="s">
        <v>145</v>
      </c>
      <c r="C44" s="138">
        <f>SUMIFS('Resultater - Vestdanmark'!H$3:H$482,'Resultater - Vestdanmark'!$F$3:$F$482,$A44)*B8</f>
        <v>0</v>
      </c>
      <c r="D44" s="138">
        <f>SUMIFS('Resultater - Vestdanmark'!I$3:I$482,'Resultater - Vestdanmark'!$F$3:$F$482,$A44)*C8</f>
        <v>189822.72976393916</v>
      </c>
      <c r="E44" s="138">
        <f>SUMIFS('Resultater - Vestdanmark'!J$3:J$482,'Resultater - Vestdanmark'!$F$3:$F$482,$A44)*D8</f>
        <v>75929.091905575682</v>
      </c>
      <c r="F44" s="139">
        <f>VLOOKUP(A44,[1]Biogasudbytte!$A$2:$C$18,3,FALSE)</f>
        <v>4.2763387558472386E-2</v>
      </c>
      <c r="G44" s="140">
        <f t="shared" si="11"/>
        <v>15.822453396634783</v>
      </c>
      <c r="I44" s="130" t="str">
        <f t="shared" si="13"/>
        <v>Brun saft</v>
      </c>
      <c r="J44" s="129" t="s">
        <v>145</v>
      </c>
      <c r="K44" s="138">
        <f>SUMIFS('Resultater - Østdanmark'!H$3:H$482,'Resultater - Østdanmark'!$F$3:$F$482,$A44)*B8</f>
        <v>0</v>
      </c>
      <c r="L44" s="138">
        <f>SUMIFS('Resultater - Østdanmark'!I$3:I$482,'Resultater - Østdanmark'!$F$3:$F$482,$A44)*C8</f>
        <v>23299.059266414486</v>
      </c>
      <c r="M44" s="138">
        <f>SUMIFS('Resultater - Østdanmark'!J$3:J$482,'Resultater - Østdanmark'!$F$3:$F$482,$A44)*D8</f>
        <v>9319.623706565797</v>
      </c>
      <c r="N44" s="139">
        <f>VLOOKUP(I44,[1]Biogasudbytte!$A$2:$C$18,3,FALSE)</f>
        <v>4.2763387558472386E-2</v>
      </c>
      <c r="O44" s="140">
        <f t="shared" si="12"/>
        <v>15.822453396634783</v>
      </c>
    </row>
    <row r="45" spans="1:15" hidden="1" x14ac:dyDescent="0.2">
      <c r="A45" s="129" t="str">
        <f t="shared" si="10"/>
        <v>Bioaffald</v>
      </c>
      <c r="B45" s="129" t="s">
        <v>145</v>
      </c>
      <c r="C45" s="138" t="e">
        <f ca="1">SUMIFS('Resultater - Vestdanmark'!H$3:H$482,'Resultater - Vestdanmark'!$F$3:$F$482,$A45)/SUMIFS('Resultater - Danmark'!H$3:H$482,'Resultater - Danmark'!$F$3:$F$482,$A45)*C18</f>
        <v>#REF!</v>
      </c>
      <c r="D45" s="138" t="e">
        <f ca="1">SUMIFS('Resultater - Vestdanmark'!I$3:I$482,'Resultater - Vestdanmark'!$F$3:$F$482,$A45)/SUMIFS('Resultater - Danmark'!I$3:I$482,'Resultater - Danmark'!$F$3:$F$482,$A45)*D18</f>
        <v>#REF!</v>
      </c>
      <c r="E45" s="138" t="e">
        <f ca="1">SUMIFS('Resultater - Vestdanmark'!J$3:J$482,'Resultater - Vestdanmark'!$F$3:$F$482,$A45)/SUMIFS('Resultater - Danmark'!J$3:J$482,'Resultater - Danmark'!$F$3:$F$482,$A45)*E18</f>
        <v>#REF!</v>
      </c>
      <c r="F45" s="139">
        <f>VLOOKUP(A45,[1]Biogasudbytte!$A$2:$C$18,3,FALSE)</f>
        <v>0.28000000000000003</v>
      </c>
      <c r="G45" s="140">
        <f t="shared" si="11"/>
        <v>85.410000000000011</v>
      </c>
      <c r="I45" s="129" t="str">
        <f t="shared" si="13"/>
        <v>Bioaffald</v>
      </c>
      <c r="J45" s="129" t="s">
        <v>145</v>
      </c>
      <c r="K45" s="138" t="e">
        <f ca="1">SUMIFS('Resultater - Østdanmark'!H$3:H$482,'Resultater - Østdanmark'!$F$3:$F$482,$A45)/SUMIFS('Resultater - Danmark'!H$3:H$482,'Resultater - Danmark'!$F$3:$F$482,$A45)*C18</f>
        <v>#REF!</v>
      </c>
      <c r="L45" s="138" t="e">
        <f ca="1">SUMIFS('Resultater - Østdanmark'!I$3:I$482,'Resultater - Østdanmark'!$F$3:$F$482,$A45)/SUMIFS('Resultater - Danmark'!I$3:I$482,'Resultater - Danmark'!$F$3:$F$482,$A45)*D18</f>
        <v>#REF!</v>
      </c>
      <c r="M45" s="138" t="e">
        <f ca="1">SUMIFS('Resultater - Østdanmark'!J$3:J$482,'Resultater - Østdanmark'!$F$3:$F$482,$A45)/SUMIFS('Resultater - Danmark'!J$3:J$482,'Resultater - Danmark'!$F$3:$F$482,$A45)*E18</f>
        <v>#REF!</v>
      </c>
      <c r="N45" s="139">
        <f>VLOOKUP(I45,[1]Biogasudbytte!$A$2:$C$18,3,FALSE)</f>
        <v>0.28000000000000003</v>
      </c>
      <c r="O45" s="140">
        <f t="shared" si="12"/>
        <v>85.410000000000011</v>
      </c>
    </row>
    <row r="46" spans="1:15" hidden="1" x14ac:dyDescent="0.2">
      <c r="A46" s="129" t="str">
        <f t="shared" si="10"/>
        <v>Industriaffald</v>
      </c>
      <c r="B46" s="129" t="s">
        <v>145</v>
      </c>
      <c r="C46" s="138">
        <f>SUMIFS('Resultater - Vestdanmark'!H$3:H$482,'Resultater - Vestdanmark'!$F$3:$F$482,$A46)/SUMIFS('Resultater - Danmark'!H$3:H$482,'Resultater - Danmark'!$F$3:$F$482,$A46)*C19</f>
        <v>716103.75203569303</v>
      </c>
      <c r="D46" s="138">
        <f>SUMIFS('Resultater - Vestdanmark'!I$3:I$482,'Resultater - Vestdanmark'!$F$3:$F$482,$A46)/SUMIFS('Resultater - Danmark'!I$3:I$482,'Resultater - Danmark'!$F$3:$F$482,$A46)*D19</f>
        <v>0</v>
      </c>
      <c r="E46" s="138">
        <f>SUMIFS('Resultater - Vestdanmark'!J$3:J$482,'Resultater - Vestdanmark'!$F$3:$F$482,$A46)/SUMIFS('Resultater - Danmark'!J$3:J$482,'Resultater - Danmark'!$F$3:$F$482,$A46)*E19</f>
        <v>0</v>
      </c>
      <c r="F46" s="139">
        <f>VLOOKUP(A46,[1]Biogasudbytte!$A$2:$C$18,3,FALSE)</f>
        <v>0.42</v>
      </c>
      <c r="G46" s="140">
        <f t="shared" si="11"/>
        <v>108.63000000000001</v>
      </c>
      <c r="I46" s="129" t="str">
        <f t="shared" si="13"/>
        <v>Industriaffald</v>
      </c>
      <c r="J46" s="129" t="s">
        <v>145</v>
      </c>
      <c r="K46" s="138">
        <f>SUMIFS('Resultater - Østdanmark'!H$3:H$482,'Resultater - Østdanmark'!$F$3:$F$482,$A46)/SUMIFS('Resultater - Danmark'!H$3:H$482,'Resultater - Danmark'!$F$3:$F$482,$A46)*C19</f>
        <v>279550.24796430691</v>
      </c>
      <c r="L46" s="138">
        <f>SUMIFS('Resultater - Østdanmark'!I$3:I$482,'Resultater - Østdanmark'!$F$3:$F$482,$A46)/SUMIFS('Resultater - Danmark'!I$3:I$482,'Resultater - Danmark'!$F$3:$F$482,$A46)*D19</f>
        <v>0</v>
      </c>
      <c r="M46" s="138">
        <f>SUMIFS('Resultater - Østdanmark'!J$3:J$482,'Resultater - Østdanmark'!$F$3:$F$482,$A46)/SUMIFS('Resultater - Danmark'!J$3:J$482,'Resultater - Danmark'!$F$3:$F$482,$A46)*E19</f>
        <v>0</v>
      </c>
      <c r="N46" s="139">
        <f>VLOOKUP(I46,[1]Biogasudbytte!$A$2:$C$18,3,FALSE)</f>
        <v>0.42</v>
      </c>
      <c r="O46" s="140">
        <f t="shared" si="12"/>
        <v>108.63000000000001</v>
      </c>
    </row>
    <row r="47" spans="1:15" hidden="1" x14ac:dyDescent="0.2">
      <c r="A47" s="129" t="str">
        <f t="shared" si="10"/>
        <v>Halm</v>
      </c>
      <c r="B47" s="129" t="s">
        <v>145</v>
      </c>
      <c r="C47" s="138">
        <f>SUMIFS('Resultater - Vestdanmark'!H$3:H$482,'Resultater - Vestdanmark'!$F$3:$F$482,$A47)/SUMIFS('Resultater - Danmark'!H$3:H$482,'Resultater - Danmark'!$F$3:$F$482,$A47)*C20</f>
        <v>53138.892747161146</v>
      </c>
      <c r="D47" s="138">
        <f>SUMIFS('Resultater - Vestdanmark'!I$3:I$482,'Resultater - Vestdanmark'!$F$3:$F$482,$A47)/SUMIFS('Resultater - Danmark'!I$3:I$482,'Resultater - Danmark'!$F$3:$F$482,$A47)*D20</f>
        <v>0</v>
      </c>
      <c r="E47" s="138">
        <f>SUMIFS('Resultater - Vestdanmark'!J$3:J$482,'Resultater - Vestdanmark'!$F$3:$F$482,$A47)/SUMIFS('Resultater - Danmark'!J$3:J$482,'Resultater - Danmark'!$F$3:$F$482,$A47)*E20</f>
        <v>0</v>
      </c>
      <c r="F47" s="139">
        <f>VLOOKUP(A47,[1]Biogasudbytte!$A$2:$C$18,3,FALSE)</f>
        <v>0.85</v>
      </c>
      <c r="G47" s="140">
        <f t="shared" si="11"/>
        <v>160.6</v>
      </c>
      <c r="I47" s="129" t="str">
        <f t="shared" si="13"/>
        <v>Halm</v>
      </c>
      <c r="J47" s="129" t="s">
        <v>145</v>
      </c>
      <c r="K47" s="138">
        <f>SUMIFS('Resultater - Østdanmark'!H$3:H$482,'Resultater - Østdanmark'!$F$3:$F$482,$A47)/SUMIFS('Resultater - Danmark'!H$3:H$482,'Resultater - Danmark'!$F$3:$F$482,$A47)*C20</f>
        <v>22795.107252838847</v>
      </c>
      <c r="L47" s="138">
        <f>SUMIFS('Resultater - Østdanmark'!I$3:I$482,'Resultater - Østdanmark'!$F$3:$F$482,$A47)/SUMIFS('Resultater - Danmark'!I$3:I$482,'Resultater - Danmark'!$F$3:$F$482,$A47)*D20</f>
        <v>0</v>
      </c>
      <c r="M47" s="138">
        <f>SUMIFS('Resultater - Østdanmark'!J$3:J$482,'Resultater - Østdanmark'!$F$3:$F$482,$A47)/SUMIFS('Resultater - Danmark'!J$3:J$482,'Resultater - Danmark'!$F$3:$F$482,$A47)*E20</f>
        <v>0</v>
      </c>
      <c r="N47" s="139">
        <f>VLOOKUP(I47,[1]Biogasudbytte!$A$2:$C$18,3,FALSE)</f>
        <v>0.85</v>
      </c>
      <c r="O47" s="140">
        <f t="shared" si="12"/>
        <v>160.6</v>
      </c>
    </row>
    <row r="48" spans="1:15" hidden="1" x14ac:dyDescent="0.2">
      <c r="A48" s="129" t="str">
        <f t="shared" si="10"/>
        <v>Korn</v>
      </c>
      <c r="B48" s="129" t="s">
        <v>145</v>
      </c>
      <c r="C48" s="138">
        <f>SUMIFS('Resultater - Vestdanmark'!H$3:H$482,'Resultater - Vestdanmark'!$F$3:$F$482,$A48)/SUMIFS('Resultater - Danmark'!H$3:H$482,'Resultater - Danmark'!$F$3:$F$482,$A48)*C21</f>
        <v>2840.1853290986264</v>
      </c>
      <c r="D48" s="138">
        <f>SUMIFS('Resultater - Vestdanmark'!I$3:I$482,'Resultater - Vestdanmark'!$F$3:$F$482,$A48)/SUMIFS('Resultater - Danmark'!I$3:I$482,'Resultater - Danmark'!$F$3:$F$482,$A48)*D21</f>
        <v>0</v>
      </c>
      <c r="E48" s="138">
        <f>SUMIFS('Resultater - Vestdanmark'!J$3:J$482,'Resultater - Vestdanmark'!$F$3:$F$482,$A48)/SUMIFS('Resultater - Danmark'!J$3:J$482,'Resultater - Danmark'!$F$3:$F$482,$A48)*E21</f>
        <v>0</v>
      </c>
      <c r="F48" s="139">
        <f>VLOOKUP(A48,[1]Biogasudbytte!$A$2:$C$18,3,FALSE)</f>
        <v>0.31</v>
      </c>
      <c r="G48" s="140">
        <f t="shared" si="11"/>
        <v>95.4</v>
      </c>
      <c r="I48" s="129" t="str">
        <f t="shared" si="13"/>
        <v>Korn</v>
      </c>
      <c r="J48" s="129" t="s">
        <v>145</v>
      </c>
      <c r="K48" s="138">
        <f>SUMIFS('Resultater - Østdanmark'!H$3:H$482,'Resultater - Østdanmark'!$F$3:$F$482,$A48)/SUMIFS('Resultater - Danmark'!H$3:H$482,'Resultater - Danmark'!$F$3:$F$482,$A48)*C21</f>
        <v>945.81467090137289</v>
      </c>
      <c r="L48" s="138">
        <f>SUMIFS('Resultater - Østdanmark'!I$3:I$482,'Resultater - Østdanmark'!$F$3:$F$482,$A48)/SUMIFS('Resultater - Danmark'!I$3:I$482,'Resultater - Danmark'!$F$3:$F$482,$A48)*D21</f>
        <v>0</v>
      </c>
      <c r="M48" s="138">
        <f>SUMIFS('Resultater - Østdanmark'!J$3:J$482,'Resultater - Østdanmark'!$F$3:$F$482,$A48)/SUMIFS('Resultater - Danmark'!J$3:J$482,'Resultater - Danmark'!$F$3:$F$482,$A48)*E21</f>
        <v>0</v>
      </c>
      <c r="N48" s="139">
        <f>VLOOKUP(I48,[1]Biogasudbytte!$A$2:$C$18,3,FALSE)</f>
        <v>0.31</v>
      </c>
      <c r="O48" s="140">
        <f t="shared" si="12"/>
        <v>95.4</v>
      </c>
    </row>
    <row r="49" spans="1:15" hidden="1" x14ac:dyDescent="0.2">
      <c r="A49" s="129" t="str">
        <f t="shared" si="10"/>
        <v>Græs</v>
      </c>
      <c r="B49" s="129" t="s">
        <v>145</v>
      </c>
      <c r="C49" s="138">
        <f>SUMIFS('Resultater - Vestdanmark'!H$3:H$482,'Resultater - Vestdanmark'!$F$3:$F$482,$A49)/SUMIFS('Resultater - Danmark'!H$3:H$482,'Resultater - Danmark'!$F$3:$F$482,$A49)*C22</f>
        <v>75746.163899662715</v>
      </c>
      <c r="D49" s="138">
        <f>SUMIFS('Resultater - Vestdanmark'!I$3:I$482,'Resultater - Vestdanmark'!$F$3:$F$482,$A49)/SUMIFS('Resultater - Danmark'!I$3:I$482,'Resultater - Danmark'!$F$3:$F$482,$A49)*D22</f>
        <v>0</v>
      </c>
      <c r="E49" s="138">
        <f>SUMIFS('Resultater - Vestdanmark'!J$3:J$482,'Resultater - Vestdanmark'!$F$3:$F$482,$A49)/SUMIFS('Resultater - Danmark'!J$3:J$482,'Resultater - Danmark'!$F$3:$F$482,$A49)*E22</f>
        <v>0</v>
      </c>
      <c r="F49" s="139">
        <f>VLOOKUP(A49,[1]Biogasudbytte!$A$2:$C$18,3,FALSE)</f>
        <v>0.28000000000000003</v>
      </c>
      <c r="G49" s="140">
        <f t="shared" si="11"/>
        <v>51.25</v>
      </c>
      <c r="I49" s="129" t="str">
        <f t="shared" si="13"/>
        <v>Græs</v>
      </c>
      <c r="J49" s="129" t="s">
        <v>145</v>
      </c>
      <c r="K49" s="138">
        <f>SUMIFS('Resultater - Østdanmark'!H$3:H$482,'Resultater - Østdanmark'!$F$3:$F$482,$A49)/SUMIFS('Resultater - Danmark'!H$3:H$482,'Resultater - Danmark'!$F$3:$F$482,$A49)*C22</f>
        <v>9930.836100337272</v>
      </c>
      <c r="L49" s="138">
        <f>SUMIFS('Resultater - Østdanmark'!I$3:I$482,'Resultater - Østdanmark'!$F$3:$F$482,$A49)/SUMIFS('Resultater - Danmark'!I$3:I$482,'Resultater - Danmark'!$F$3:$F$482,$A49)*D22</f>
        <v>0</v>
      </c>
      <c r="M49" s="138">
        <f>SUMIFS('Resultater - Østdanmark'!J$3:J$482,'Resultater - Østdanmark'!$F$3:$F$482,$A49)/SUMIFS('Resultater - Danmark'!J$3:J$482,'Resultater - Danmark'!$F$3:$F$482,$A49)*E22</f>
        <v>0</v>
      </c>
      <c r="N49" s="139">
        <f>VLOOKUP(I49,[1]Biogasudbytte!$A$2:$C$18,3,FALSE)</f>
        <v>0.28000000000000003</v>
      </c>
      <c r="O49" s="140">
        <f t="shared" si="12"/>
        <v>51.25</v>
      </c>
    </row>
    <row r="50" spans="1:15" hidden="1" x14ac:dyDescent="0.2">
      <c r="A50" s="129" t="str">
        <f t="shared" si="10"/>
        <v>Majs</v>
      </c>
      <c r="B50" s="129" t="s">
        <v>145</v>
      </c>
      <c r="C50" s="138">
        <f>SUMIFS('Resultater - Vestdanmark'!H$3:H$482,'Resultater - Vestdanmark'!$F$3:$F$482,$A50)/SUMIFS('Resultater - Danmark'!H$3:H$482,'Resultater - Danmark'!$F$3:$F$482,$A50)*C23</f>
        <v>314821.43493156106</v>
      </c>
      <c r="D50" s="138">
        <f>SUMIFS('Resultater - Vestdanmark'!I$3:I$482,'Resultater - Vestdanmark'!$F$3:$F$482,$A50)/SUMIFS('Resultater - Danmark'!I$3:I$482,'Resultater - Danmark'!$F$3:$F$482,$A50)*D23</f>
        <v>0</v>
      </c>
      <c r="E50" s="138">
        <f>SUMIFS('Resultater - Vestdanmark'!J$3:J$482,'Resultater - Vestdanmark'!$F$3:$F$482,$A50)/SUMIFS('Resultater - Danmark'!J$3:J$482,'Resultater - Danmark'!$F$3:$F$482,$A50)*E23</f>
        <v>0</v>
      </c>
      <c r="F50" s="139">
        <f>VLOOKUP(A50,[1]Biogasudbytte!$A$2:$C$18,3,FALSE)</f>
        <v>0.3</v>
      </c>
      <c r="G50" s="140">
        <f t="shared" si="11"/>
        <v>100</v>
      </c>
      <c r="I50" s="129" t="str">
        <f t="shared" si="13"/>
        <v>Majs</v>
      </c>
      <c r="J50" s="129" t="s">
        <v>145</v>
      </c>
      <c r="K50" s="138">
        <f>SUMIFS('Resultater - Østdanmark'!H$3:H$482,'Resultater - Østdanmark'!$F$3:$F$482,$A50)/SUMIFS('Resultater - Danmark'!H$3:H$482,'Resultater - Danmark'!$F$3:$F$482,$A50)*C23</f>
        <v>15204.565068438918</v>
      </c>
      <c r="L50" s="138">
        <f>SUMIFS('Resultater - Østdanmark'!I$3:I$482,'Resultater - Østdanmark'!$F$3:$F$482,$A50)/SUMIFS('Resultater - Danmark'!I$3:I$482,'Resultater - Danmark'!$F$3:$F$482,$A50)*D23</f>
        <v>0</v>
      </c>
      <c r="M50" s="138">
        <f>SUMIFS('Resultater - Østdanmark'!J$3:J$482,'Resultater - Østdanmark'!$F$3:$F$482,$A50)/SUMIFS('Resultater - Danmark'!J$3:J$482,'Resultater - Danmark'!$F$3:$F$482,$A50)*E23</f>
        <v>0</v>
      </c>
      <c r="N50" s="139">
        <f>VLOOKUP(I50,[1]Biogasudbytte!$A$2:$C$18,3,FALSE)</f>
        <v>0.3</v>
      </c>
      <c r="O50" s="140">
        <f t="shared" si="12"/>
        <v>100</v>
      </c>
    </row>
    <row r="51" spans="1:15" hidden="1" x14ac:dyDescent="0.2">
      <c r="A51" s="129" t="str">
        <f t="shared" si="10"/>
        <v>Roer</v>
      </c>
      <c r="B51" s="129" t="s">
        <v>145</v>
      </c>
      <c r="C51" s="138">
        <f>SUMIFS('Resultater - Vestdanmark'!H$3:H$482,'Resultater - Vestdanmark'!$F$3:$F$482,$A51)/SUMIFS('Resultater - Danmark'!H$3:H$482,'Resultater - Danmark'!$F$3:$F$482,$A51)*C24</f>
        <v>4101.0489241972273</v>
      </c>
      <c r="D51" s="138">
        <f>SUMIFS('Resultater - Vestdanmark'!I$3:I$482,'Resultater - Vestdanmark'!$F$3:$F$482,$A51)/SUMIFS('Resultater - Danmark'!I$3:I$482,'Resultater - Danmark'!$F$3:$F$482,$A51)*D24</f>
        <v>0</v>
      </c>
      <c r="E51" s="138">
        <f>SUMIFS('Resultater - Vestdanmark'!J$3:J$482,'Resultater - Vestdanmark'!$F$3:$F$482,$A51)/SUMIFS('Resultater - Danmark'!J$3:J$482,'Resultater - Danmark'!$F$3:$F$482,$A51)*E24</f>
        <v>0</v>
      </c>
      <c r="F51" s="139">
        <f>VLOOKUP(A51,[1]Biogasudbytte!$A$2:$C$18,3,FALSE)</f>
        <v>0.2</v>
      </c>
      <c r="G51" s="140">
        <f t="shared" si="11"/>
        <v>75.599999999999994</v>
      </c>
      <c r="I51" s="129" t="str">
        <f t="shared" si="13"/>
        <v>Roer</v>
      </c>
      <c r="J51" s="129" t="s">
        <v>145</v>
      </c>
      <c r="K51" s="138">
        <f>SUMIFS('Resultater - Østdanmark'!H$3:H$482,'Resultater - Østdanmark'!$F$3:$F$482,$A51)/SUMIFS('Resultater - Danmark'!H$3:H$482,'Resultater - Danmark'!$F$3:$F$482,$A51)*C24</f>
        <v>24543.951075802775</v>
      </c>
      <c r="L51" s="138">
        <f>SUMIFS('Resultater - Østdanmark'!I$3:I$482,'Resultater - Østdanmark'!$F$3:$F$482,$A51)/SUMIFS('Resultater - Danmark'!I$3:I$482,'Resultater - Danmark'!$F$3:$F$482,$A51)*D24</f>
        <v>0</v>
      </c>
      <c r="M51" s="138">
        <f>SUMIFS('Resultater - Østdanmark'!J$3:J$482,'Resultater - Østdanmark'!$F$3:$F$482,$A51)/SUMIFS('Resultater - Danmark'!J$3:J$482,'Resultater - Danmark'!$F$3:$F$482,$A51)*E24</f>
        <v>0</v>
      </c>
      <c r="N51" s="139">
        <f>VLOOKUP(I51,[1]Biogasudbytte!$A$2:$C$18,3,FALSE)</f>
        <v>0.2</v>
      </c>
      <c r="O51" s="140">
        <f t="shared" si="12"/>
        <v>75.599999999999994</v>
      </c>
    </row>
    <row r="52" spans="1:15" hidden="1" x14ac:dyDescent="0.2">
      <c r="A52" s="129" t="str">
        <f t="shared" si="10"/>
        <v>Have/parkaffald</v>
      </c>
      <c r="B52" s="129" t="s">
        <v>145</v>
      </c>
      <c r="C52" s="138">
        <f>SUMIFS('Resultater - Vestdanmark'!H$3:H$482,'Resultater - Vestdanmark'!$F$3:$F$482,$A52)/SUMIFS('Resultater - Danmark'!H$3:H$482,'Resultater - Danmark'!$F$3:$F$482,$A52)*C25</f>
        <v>42.099811904105366</v>
      </c>
      <c r="D52" s="138">
        <f>SUMIFS('Resultater - Vestdanmark'!I$3:I$482,'Resultater - Vestdanmark'!$F$3:$F$482,$A52)/SUMIFS('Resultater - Danmark'!I$3:I$482,'Resultater - Danmark'!$F$3:$F$482,$A52)*D25</f>
        <v>0</v>
      </c>
      <c r="E52" s="138">
        <f>SUMIFS('Resultater - Vestdanmark'!J$3:J$482,'Resultater - Vestdanmark'!$F$3:$F$482,$A52)/SUMIFS('Resultater - Danmark'!J$3:J$482,'Resultater - Danmark'!$F$3:$F$482,$A52)*E25</f>
        <v>0</v>
      </c>
      <c r="F52" s="139">
        <f>VLOOKUP(A52,[1]Biogasudbytte!$A$2:$C$18,3,FALSE)</f>
        <v>0.3</v>
      </c>
      <c r="G52" s="140">
        <f t="shared" si="11"/>
        <v>47.3</v>
      </c>
      <c r="I52" s="129" t="str">
        <f t="shared" si="13"/>
        <v>Have/parkaffald</v>
      </c>
      <c r="J52" s="129" t="s">
        <v>145</v>
      </c>
      <c r="K52" s="138">
        <f>SUMIFS('Resultater - Østdanmark'!H$3:H$482,'Resultater - Østdanmark'!$F$3:$F$482,$A52)/SUMIFS('Resultater - Danmark'!H$3:H$482,'Resultater - Danmark'!$F$3:$F$482,$A52)*C25</f>
        <v>35.900188095894634</v>
      </c>
      <c r="L52" s="138">
        <f>SUMIFS('Resultater - Østdanmark'!I$3:I$482,'Resultater - Østdanmark'!$F$3:$F$482,$A52)/SUMIFS('Resultater - Danmark'!I$3:I$482,'Resultater - Danmark'!$F$3:$F$482,$A52)*D25</f>
        <v>0</v>
      </c>
      <c r="M52" s="138">
        <f>SUMIFS('Resultater - Østdanmark'!J$3:J$482,'Resultater - Østdanmark'!$F$3:$F$482,$A52)/SUMIFS('Resultater - Danmark'!J$3:J$482,'Resultater - Danmark'!$F$3:$F$482,$A52)*E25</f>
        <v>0</v>
      </c>
      <c r="N52" s="139">
        <f>VLOOKUP(I52,[1]Biogasudbytte!$A$2:$C$18,3,FALSE)</f>
        <v>0.3</v>
      </c>
      <c r="O52" s="140">
        <f t="shared" si="12"/>
        <v>47.3</v>
      </c>
    </row>
    <row r="53" spans="1:15" hidden="1" x14ac:dyDescent="0.2">
      <c r="A53" s="130" t="str">
        <f t="shared" si="10"/>
        <v>Glycerin</v>
      </c>
      <c r="B53" s="130" t="s">
        <v>145</v>
      </c>
      <c r="C53" s="138">
        <f>C26*$B$36</f>
        <v>114193.60000000001</v>
      </c>
      <c r="D53" s="138">
        <f>D26*$B$36</f>
        <v>0</v>
      </c>
      <c r="E53" s="138">
        <f>E26*$B$36</f>
        <v>0</v>
      </c>
      <c r="F53" s="139">
        <f>VLOOKUP(A53,[1]Biogasudbytte!$A$2:$C$18,3,FALSE)</f>
        <v>0.9</v>
      </c>
      <c r="G53" s="140">
        <f t="shared" si="11"/>
        <v>423.36</v>
      </c>
      <c r="I53" s="130" t="str">
        <f t="shared" si="13"/>
        <v>Glycerin</v>
      </c>
      <c r="J53" s="130" t="s">
        <v>145</v>
      </c>
      <c r="K53" s="138">
        <f>C26*$C$36</f>
        <v>28548.400000000001</v>
      </c>
      <c r="L53" s="138">
        <f>D26*$C$36</f>
        <v>0</v>
      </c>
      <c r="M53" s="138">
        <f>E26*$C$36</f>
        <v>0</v>
      </c>
      <c r="N53" s="139">
        <f>VLOOKUP(I53,[1]Biogasudbytte!$A$2:$C$18,3,FALSE)</f>
        <v>0.9</v>
      </c>
      <c r="O53" s="140">
        <f t="shared" si="12"/>
        <v>423.36</v>
      </c>
    </row>
    <row r="54" spans="1:15" hidden="1" x14ac:dyDescent="0.2">
      <c r="A54" s="129" t="str">
        <f t="shared" si="10"/>
        <v>Muslinger</v>
      </c>
      <c r="B54" s="129" t="s">
        <v>145</v>
      </c>
      <c r="C54" s="138">
        <f>SUMIFS('Resultater - Vestdanmark'!H$3:H$482,'Resultater - Vestdanmark'!$F$3:$F$482,$A54)/SUMIFS('Resultater - Danmark'!H$3:H$482,'Resultater - Danmark'!$F$3:$F$482,$A54)*C27</f>
        <v>0</v>
      </c>
      <c r="D54" s="138">
        <f>SUMIFS('Resultater - Vestdanmark'!I$3:I$482,'Resultater - Vestdanmark'!$F$3:$F$482,$A54)/SUMIFS('Resultater - Danmark'!I$3:I$482,'Resultater - Danmark'!$F$3:$F$482,$A54)*D27</f>
        <v>0</v>
      </c>
      <c r="E54" s="138">
        <f>SUMIFS('Resultater - Vestdanmark'!J$3:J$482,'Resultater - Vestdanmark'!$F$3:$F$482,$A54)/SUMIFS('Resultater - Danmark'!J$3:J$482,'Resultater - Danmark'!$F$3:$F$482,$A54)*E27</f>
        <v>0</v>
      </c>
      <c r="F54" s="139">
        <f>VLOOKUP(A54,[1]Biogasudbytte!$A$2:$C$18,3,FALSE)</f>
        <v>0.15</v>
      </c>
      <c r="G54" s="140">
        <f t="shared" si="11"/>
        <v>25</v>
      </c>
      <c r="I54" s="129" t="str">
        <f t="shared" si="13"/>
        <v>Muslinger</v>
      </c>
      <c r="J54" s="129" t="s">
        <v>145</v>
      </c>
      <c r="K54" s="138">
        <f>SUMIFS('Resultater - Østdanmark'!H$3:H$482,'Resultater - Østdanmark'!$F$3:$F$482,$A54)/SUMIFS('Resultater - Danmark'!H$3:H$482,'Resultater - Danmark'!$F$3:$F$482,$A54)*C27</f>
        <v>0</v>
      </c>
      <c r="L54" s="138">
        <f>SUMIFS('Resultater - Østdanmark'!I$3:I$482,'Resultater - Østdanmark'!$F$3:$F$482,$A54)/SUMIFS('Resultater - Danmark'!I$3:I$482,'Resultater - Danmark'!$F$3:$F$482,$A54)*D27</f>
        <v>0</v>
      </c>
      <c r="M54" s="138">
        <f>SUMIFS('Resultater - Østdanmark'!J$3:J$482,'Resultater - Østdanmark'!$F$3:$F$482,$A54)/SUMIFS('Resultater - Danmark'!J$3:J$482,'Resultater - Danmark'!$F$3:$F$482,$A54)*E27</f>
        <v>0</v>
      </c>
      <c r="N54" s="139">
        <f>VLOOKUP(I54,[1]Biogasudbytte!$A$2:$C$18,3,FALSE)</f>
        <v>0.15</v>
      </c>
      <c r="O54" s="140">
        <f t="shared" si="12"/>
        <v>25</v>
      </c>
    </row>
    <row r="55" spans="1:15" ht="12.75" hidden="1" thickBot="1" x14ac:dyDescent="0.25">
      <c r="A55" s="144" t="str">
        <f t="shared" si="10"/>
        <v>Tang</v>
      </c>
      <c r="B55" s="144" t="s">
        <v>145</v>
      </c>
      <c r="C55" s="181">
        <f>SUMIFS('Resultater - Vestdanmark'!H$3:H$482,'Resultater - Vestdanmark'!$F$3:$F$482,$A55)/SUMIFS('Resultater - Danmark'!H$3:H$482,'Resultater - Danmark'!$F$3:$F$482,$A55)*C28</f>
        <v>0</v>
      </c>
      <c r="D55" s="181">
        <f>SUMIFS('Resultater - Vestdanmark'!I$3:I$482,'Resultater - Vestdanmark'!$F$3:$F$482,$A55)/SUMIFS('Resultater - Danmark'!I$3:I$482,'Resultater - Danmark'!$F$3:$F$482,$A55)*D28</f>
        <v>0</v>
      </c>
      <c r="E55" s="181">
        <f>SUMIFS('Resultater - Vestdanmark'!J$3:J$482,'Resultater - Vestdanmark'!$F$3:$F$482,$A55)/SUMIFS('Resultater - Danmark'!J$3:J$482,'Resultater - Danmark'!$F$3:$F$482,$A55)*E28</f>
        <v>0</v>
      </c>
      <c r="F55" s="145">
        <f>VLOOKUP(A55,[1]Biogasudbytte!$A$2:$C$18,3,FALSE)</f>
        <v>0.15</v>
      </c>
      <c r="G55" s="146">
        <f t="shared" si="11"/>
        <v>25</v>
      </c>
      <c r="I55" s="144" t="str">
        <f t="shared" si="13"/>
        <v>Tang</v>
      </c>
      <c r="J55" s="144" t="s">
        <v>145</v>
      </c>
      <c r="K55" s="181">
        <f>SUMIFS('Resultater - Østdanmark'!H$3:H$482,'Resultater - Østdanmark'!$F$3:$F$482,$A55)/SUMIFS('Resultater - Danmark'!H$3:H$482,'Resultater - Danmark'!$F$3:$F$482,$A55)*C28</f>
        <v>0</v>
      </c>
      <c r="L55" s="181">
        <f>SUMIFS('Resultater - Østdanmark'!I$3:I$482,'Resultater - Østdanmark'!$F$3:$F$482,$A55)/SUMIFS('Resultater - Danmark'!I$3:I$482,'Resultater - Danmark'!$F$3:$F$482,$A55)*D28</f>
        <v>0</v>
      </c>
      <c r="M55" s="181">
        <f>SUMIFS('Resultater - Østdanmark'!J$3:J$482,'Resultater - Østdanmark'!$F$3:$F$482,$A55)/SUMIFS('Resultater - Danmark'!J$3:J$482,'Resultater - Danmark'!$F$3:$F$482,$A55)*E28</f>
        <v>0</v>
      </c>
      <c r="N55" s="145">
        <f>VLOOKUP(I55,[1]Biogasudbytte!$A$2:$C$18,3,FALSE)</f>
        <v>0.15</v>
      </c>
      <c r="O55" s="146">
        <f t="shared" si="12"/>
        <v>25</v>
      </c>
    </row>
    <row r="56" spans="1:15" hidden="1" x14ac:dyDescent="0.2">
      <c r="A56" s="127" t="s">
        <v>106</v>
      </c>
      <c r="B56" s="127" t="s">
        <v>145</v>
      </c>
      <c r="C56" s="147" t="e">
        <f ca="1">SUM(C39:C55)</f>
        <v>#REF!</v>
      </c>
      <c r="D56" s="147" t="e">
        <f ca="1">SUM(D39:D55)</f>
        <v>#REF!</v>
      </c>
      <c r="E56" s="147" t="e">
        <f ca="1">SUM(E39:E55)</f>
        <v>#REF!</v>
      </c>
      <c r="F56" s="148"/>
      <c r="G56" s="148"/>
      <c r="I56" s="127" t="s">
        <v>106</v>
      </c>
      <c r="J56" s="127" t="s">
        <v>145</v>
      </c>
      <c r="K56" s="147" t="e">
        <f ca="1">SUM(K39:K55)</f>
        <v>#REF!</v>
      </c>
      <c r="L56" s="147" t="e">
        <f ca="1">SUM(L39:L55)</f>
        <v>#REF!</v>
      </c>
      <c r="M56" s="147" t="e">
        <f ca="1">SUM(M39:M55)</f>
        <v>#REF!</v>
      </c>
      <c r="N56" s="148"/>
      <c r="O56" s="148"/>
    </row>
    <row r="57" spans="1:15" hidden="1" x14ac:dyDescent="0.2">
      <c r="A57" s="150" t="s">
        <v>126</v>
      </c>
      <c r="C57" s="151" t="e">
        <f ca="1">SUMPRODUCT(C39:C55,$F$39:$F$55)/C56</f>
        <v>#REF!</v>
      </c>
      <c r="D57" s="151" t="e">
        <f ca="1">SUMPRODUCT(D39:D55,$F$39:$F$55)/D56</f>
        <v>#REF!</v>
      </c>
      <c r="E57" s="151" t="e">
        <f ca="1">SUMPRODUCT(E39:E55,$F$39:$F$55)/E56</f>
        <v>#REF!</v>
      </c>
      <c r="I57" s="150" t="s">
        <v>126</v>
      </c>
      <c r="K57" s="151" t="e">
        <f ca="1">SUMPRODUCT(K39:K55,$N$39:$N$55)/K56</f>
        <v>#REF!</v>
      </c>
      <c r="L57" s="151" t="e">
        <f ca="1">SUMPRODUCT(L39:L55,$N$39:$N$55)/L56</f>
        <v>#REF!</v>
      </c>
      <c r="M57" s="151" t="e">
        <f ca="1">SUMPRODUCT(M39:M55,$N$39:$N$55)/M56</f>
        <v>#REF!</v>
      </c>
    </row>
    <row r="58" spans="1:15" hidden="1" x14ac:dyDescent="0.2">
      <c r="A58" s="150" t="s">
        <v>167</v>
      </c>
      <c r="C58" s="151" t="e">
        <f ca="1">SUM(C48:C51)/C56</f>
        <v>#REF!</v>
      </c>
      <c r="D58" s="151" t="e">
        <f ca="1">SUM(D48:D51)/D56</f>
        <v>#REF!</v>
      </c>
      <c r="E58" s="151" t="e">
        <f ca="1">SUM(E48:E51)/E56</f>
        <v>#REF!</v>
      </c>
      <c r="I58" s="150" t="s">
        <v>167</v>
      </c>
      <c r="K58" s="151" t="e">
        <f ca="1">SUM(K48:K51)/K56</f>
        <v>#REF!</v>
      </c>
      <c r="L58" s="151" t="e">
        <f ca="1">SUM(L48:L51)/L56</f>
        <v>#REF!</v>
      </c>
      <c r="M58" s="151" t="e">
        <f ca="1">SUM(M48:M51)/M56</f>
        <v>#REF!</v>
      </c>
    </row>
    <row r="59" spans="1:15" hidden="1" x14ac:dyDescent="0.2">
      <c r="A59" s="127" t="s">
        <v>148</v>
      </c>
      <c r="B59" s="127" t="s">
        <v>149</v>
      </c>
      <c r="C59" s="127" t="e">
        <f ca="1">SUMPRODUCT(C39:C55,$I$12:$I$28)</f>
        <v>#REF!</v>
      </c>
      <c r="D59" s="127" t="e">
        <f ca="1">SUMPRODUCT(D39:D55,$I$12:$I$28)</f>
        <v>#REF!</v>
      </c>
      <c r="E59" s="127" t="e">
        <f ca="1">SUMPRODUCT(E39:E55,$I$12:$I$28)</f>
        <v>#REF!</v>
      </c>
      <c r="I59" s="127" t="s">
        <v>148</v>
      </c>
      <c r="J59" s="127" t="s">
        <v>149</v>
      </c>
      <c r="K59" s="127" t="e">
        <f ca="1">SUMPRODUCT(K39:K55,$I$12:$I$28)</f>
        <v>#REF!</v>
      </c>
      <c r="L59" s="127" t="e">
        <f ca="1">SUMPRODUCT(L39:L55,$I$12:$I$28)</f>
        <v>#REF!</v>
      </c>
      <c r="M59" s="127" t="e">
        <f ca="1">SUMPRODUCT(M39:M55,$I$12:$I$28)</f>
        <v>#REF!</v>
      </c>
    </row>
    <row r="60" spans="1:15" hidden="1" x14ac:dyDescent="0.2">
      <c r="A60" s="127" t="s">
        <v>148</v>
      </c>
      <c r="B60" s="127" t="s">
        <v>125</v>
      </c>
      <c r="C60" s="127" t="e">
        <f ca="1">C59*[1]Energiindhold!$C$10</f>
        <v>#REF!</v>
      </c>
      <c r="D60" s="127" t="e">
        <f ca="1">D59*[1]Energiindhold!$C$10</f>
        <v>#REF!</v>
      </c>
      <c r="E60" s="127" t="e">
        <f ca="1">E59*[1]Energiindhold!$C$10</f>
        <v>#REF!</v>
      </c>
      <c r="I60" s="127" t="s">
        <v>148</v>
      </c>
      <c r="J60" s="127" t="s">
        <v>125</v>
      </c>
      <c r="K60" s="127" t="e">
        <f ca="1">K59*[1]Energiindhold!$C$10</f>
        <v>#REF!</v>
      </c>
      <c r="L60" s="127" t="e">
        <f ca="1">L59*[1]Energiindhold!$C$10</f>
        <v>#REF!</v>
      </c>
      <c r="M60" s="127" t="e">
        <f ca="1">M59*[1]Energiindhold!$C$10</f>
        <v>#REF!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7" priority="7" operator="greaterThan">
      <formula>13%</formula>
    </cfRule>
  </conditionalFormatting>
  <conditionalFormatting sqref="K57:M57">
    <cfRule type="cellIs" dxfId="16" priority="5" operator="greaterThan">
      <formula>13%</formula>
    </cfRule>
  </conditionalFormatting>
  <conditionalFormatting sqref="C58:E58">
    <cfRule type="cellIs" dxfId="15" priority="2" operator="greaterThan">
      <formula>13%</formula>
    </cfRule>
  </conditionalFormatting>
  <conditionalFormatting sqref="K58:M58">
    <cfRule type="cellIs" dxfId="14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B11" sqref="B11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36" t="s">
        <v>295</v>
      </c>
    </row>
    <row r="2" spans="1:5" ht="15.75" x14ac:dyDescent="0.25">
      <c r="A2" s="233" t="s">
        <v>338</v>
      </c>
    </row>
    <row r="3" spans="1:5" x14ac:dyDescent="0.25">
      <c r="A3" s="2" t="s">
        <v>145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69</v>
      </c>
      <c r="B4" s="110">
        <v>0</v>
      </c>
      <c r="C4" s="111">
        <v>0</v>
      </c>
      <c r="D4" s="111">
        <v>0</v>
      </c>
    </row>
    <row r="5" spans="1:5" x14ac:dyDescent="0.25">
      <c r="A5" s="329"/>
    </row>
    <row r="6" spans="1:5" x14ac:dyDescent="0.25">
      <c r="A6" s="329"/>
    </row>
    <row r="7" spans="1:5" ht="15.75" x14ac:dyDescent="0.25">
      <c r="A7" s="233" t="s">
        <v>322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7">
        <v>0</v>
      </c>
      <c r="C10" s="3">
        <v>0</v>
      </c>
      <c r="D10" s="3">
        <v>0</v>
      </c>
      <c r="E10" s="1" t="s">
        <v>259</v>
      </c>
    </row>
    <row r="11" spans="1:5" x14ac:dyDescent="0.25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25">
      <c r="A16" s="2" t="s">
        <v>262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0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0" t="e">
        <f ca="1">SUMIFS('Forbrug af biomasse'!$E$2:$E$403,'Forbrug af biomasse'!$D$2:$D$403,'Forbrug til andet'!B$16,'Forbrug af biomasse'!$C$2:$C$403,'Forbrug til andet'!$A22,'Forbrug af biomasse'!$A$2:$A$403,"Materialer")</f>
        <v>#REF!</v>
      </c>
      <c r="C22" s="110" t="e">
        <f ca="1">SUMIFS('Forbrug af biomasse'!$E$2:$E$403,'Forbrug af biomasse'!$D$2:$D$403,'Forbrug til andet'!C$16,'Forbrug af biomasse'!$C$2:$C$403,'Forbrug til andet'!$A22,'Forbrug af biomasse'!$A$2:$A$403,"Materialer")</f>
        <v>#REF!</v>
      </c>
      <c r="D22" s="110" t="e">
        <f ca="1">SUMIFS('Forbrug af biomasse'!$E$2:$E$403,'Forbrug af biomasse'!$D$2:$D$403,'Forbrug til andet'!D$16,'Forbrug af biomasse'!$C$2:$C$403,'Forbrug til andet'!$A22,'Forbrug af biomasse'!$A$2:$A$403,"Materialer")</f>
        <v>#REF!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3"/>
  </cols>
  <sheetData>
    <row r="1" spans="1:1" x14ac:dyDescent="0.25">
      <c r="A1" s="6" t="s">
        <v>264</v>
      </c>
    </row>
    <row r="2" spans="1:1" x14ac:dyDescent="0.25">
      <c r="A2" s="93" t="s">
        <v>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G171" sqref="G171"/>
    </sheetView>
  </sheetViews>
  <sheetFormatPr defaultRowHeight="15" x14ac:dyDescent="0.25"/>
  <cols>
    <col min="6" max="6" width="21.28515625" customWidth="1"/>
  </cols>
  <sheetData>
    <row r="1" spans="1:9" x14ac:dyDescent="0.25">
      <c r="A1" s="96"/>
      <c r="B1" s="96"/>
      <c r="C1" s="96"/>
      <c r="D1" s="96"/>
      <c r="E1" s="96"/>
      <c r="F1" s="96"/>
      <c r="G1" s="96" t="s">
        <v>87</v>
      </c>
      <c r="H1" s="96"/>
      <c r="I1" s="96"/>
    </row>
    <row r="2" spans="1:9" x14ac:dyDescent="0.25">
      <c r="A2" s="96" t="s">
        <v>65</v>
      </c>
      <c r="B2" s="96" t="s">
        <v>58</v>
      </c>
      <c r="C2" s="96" t="s">
        <v>60</v>
      </c>
      <c r="D2" s="96" t="s">
        <v>64</v>
      </c>
      <c r="E2" s="96"/>
      <c r="F2" s="96" t="s">
        <v>99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25">
      <c r="A3" t="s">
        <v>24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172698.38963314588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0</v>
      </c>
    </row>
    <row r="4" spans="1:9" hidden="1" x14ac:dyDescent="0.25">
      <c r="A4" t="s">
        <v>24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162502.61268805928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0</v>
      </c>
    </row>
    <row r="5" spans="1:9" hidden="1" x14ac:dyDescent="0.25">
      <c r="A5" t="s">
        <v>24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41667.79106598362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0</v>
      </c>
    </row>
    <row r="6" spans="1:9" hidden="1" x14ac:dyDescent="0.25">
      <c r="A6" t="s">
        <v>24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79447.372407112256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0</v>
      </c>
    </row>
    <row r="7" spans="1:9" hidden="1" x14ac:dyDescent="0.25">
      <c r="A7" t="s">
        <v>24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23733.116798028695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0</v>
      </c>
    </row>
    <row r="8" spans="1:9" hidden="1" x14ac:dyDescent="0.25">
      <c r="A8" t="s">
        <v>24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18314.785524866154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0</v>
      </c>
    </row>
    <row r="9" spans="1:9" hidden="1" x14ac:dyDescent="0.25">
      <c r="A9" t="s">
        <v>24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1787.9048045348884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0</v>
      </c>
    </row>
    <row r="10" spans="1:9" hidden="1" x14ac:dyDescent="0.25">
      <c r="A10" t="s">
        <v>24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40567.410384497816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0</v>
      </c>
    </row>
    <row r="11" spans="1:9" hidden="1" x14ac:dyDescent="0.25">
      <c r="A11" t="s">
        <v>24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14897.502511358665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0</v>
      </c>
    </row>
    <row r="12" spans="1:9" hidden="1" x14ac:dyDescent="0.25">
      <c r="A12" t="s">
        <v>24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19897.459682199926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0</v>
      </c>
    </row>
    <row r="13" spans="1:9" hidden="1" x14ac:dyDescent="0.25">
      <c r="A13" t="s">
        <v>24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20930.3776507398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0</v>
      </c>
    </row>
    <row r="14" spans="1:9" hidden="1" x14ac:dyDescent="0.25">
      <c r="A14" t="s">
        <v>24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5642.7197646373925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0</v>
      </c>
    </row>
    <row r="15" spans="1:9" hidden="1" x14ac:dyDescent="0.25">
      <c r="A15" t="s">
        <v>24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2075.5733753802315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0</v>
      </c>
    </row>
    <row r="16" spans="1:9" hidden="1" x14ac:dyDescent="0.25">
      <c r="A16" t="s">
        <v>24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84459.789309670814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0</v>
      </c>
    </row>
    <row r="17" spans="1:9" hidden="1" x14ac:dyDescent="0.25">
      <c r="A17" t="s">
        <v>24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0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0</v>
      </c>
    </row>
    <row r="18" spans="1:9" hidden="1" x14ac:dyDescent="0.25">
      <c r="A18" t="s">
        <v>24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0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0</v>
      </c>
    </row>
    <row r="19" spans="1:9" hidden="1" x14ac:dyDescent="0.25">
      <c r="A19" t="s">
        <v>24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0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0</v>
      </c>
    </row>
    <row r="20" spans="1:9" hidden="1" x14ac:dyDescent="0.25">
      <c r="A20" t="s">
        <v>24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0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0</v>
      </c>
    </row>
    <row r="21" spans="1:9" hidden="1" x14ac:dyDescent="0.25">
      <c r="A21" t="s">
        <v>24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0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0</v>
      </c>
    </row>
    <row r="22" spans="1:9" hidden="1" x14ac:dyDescent="0.25">
      <c r="A22" t="s">
        <v>24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0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0</v>
      </c>
    </row>
    <row r="23" spans="1:9" hidden="1" x14ac:dyDescent="0.25">
      <c r="A23" t="s">
        <v>24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0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0</v>
      </c>
    </row>
    <row r="24" spans="1:9" hidden="1" x14ac:dyDescent="0.25">
      <c r="A24" t="s">
        <v>24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0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0</v>
      </c>
    </row>
    <row r="25" spans="1:9" hidden="1" x14ac:dyDescent="0.25">
      <c r="A25" t="s">
        <v>24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0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0</v>
      </c>
    </row>
    <row r="26" spans="1:9" hidden="1" x14ac:dyDescent="0.25">
      <c r="A26" t="s">
        <v>24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0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0</v>
      </c>
    </row>
    <row r="27" spans="1:9" hidden="1" x14ac:dyDescent="0.25">
      <c r="A27" t="s">
        <v>24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0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0</v>
      </c>
    </row>
    <row r="28" spans="1:9" hidden="1" x14ac:dyDescent="0.25">
      <c r="A28" t="s">
        <v>24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0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0</v>
      </c>
    </row>
    <row r="29" spans="1:9" hidden="1" x14ac:dyDescent="0.25">
      <c r="A29" t="s">
        <v>24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0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0</v>
      </c>
    </row>
    <row r="30" spans="1:9" hidden="1" x14ac:dyDescent="0.25">
      <c r="A30" t="s">
        <v>24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0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0</v>
      </c>
    </row>
    <row r="31" spans="1:9" hidden="1" x14ac:dyDescent="0.25">
      <c r="A31" t="s">
        <v>24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0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0</v>
      </c>
    </row>
    <row r="32" spans="1:9" hidden="1" x14ac:dyDescent="0.25">
      <c r="A32" t="s">
        <v>24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0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0</v>
      </c>
    </row>
    <row r="33" spans="1:9" hidden="1" x14ac:dyDescent="0.25">
      <c r="A33" t="s">
        <v>24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0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0</v>
      </c>
    </row>
    <row r="34" spans="1:9" hidden="1" x14ac:dyDescent="0.25">
      <c r="A34" t="s">
        <v>24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0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0</v>
      </c>
    </row>
    <row r="35" spans="1:9" hidden="1" x14ac:dyDescent="0.25">
      <c r="A35" t="s">
        <v>24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0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0</v>
      </c>
    </row>
    <row r="36" spans="1:9" hidden="1" x14ac:dyDescent="0.25">
      <c r="A36" t="s">
        <v>24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0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0</v>
      </c>
    </row>
    <row r="37" spans="1:9" hidden="1" x14ac:dyDescent="0.25">
      <c r="A37" t="s">
        <v>24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0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0</v>
      </c>
    </row>
    <row r="38" spans="1:9" hidden="1" x14ac:dyDescent="0.25">
      <c r="A38" t="s">
        <v>24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0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0</v>
      </c>
    </row>
    <row r="39" spans="1:9" hidden="1" x14ac:dyDescent="0.25">
      <c r="A39" t="s">
        <v>24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0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0</v>
      </c>
    </row>
    <row r="40" spans="1:9" hidden="1" x14ac:dyDescent="0.25">
      <c r="A40" t="s">
        <v>24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0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0</v>
      </c>
    </row>
    <row r="41" spans="1:9" hidden="1" x14ac:dyDescent="0.25">
      <c r="A41" t="s">
        <v>24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0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0</v>
      </c>
    </row>
    <row r="42" spans="1:9" hidden="1" x14ac:dyDescent="0.25">
      <c r="A42" t="s">
        <v>24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0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0</v>
      </c>
    </row>
    <row r="43" spans="1:9" hidden="1" x14ac:dyDescent="0.25">
      <c r="A43" t="s">
        <v>24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0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0</v>
      </c>
    </row>
    <row r="44" spans="1:9" hidden="1" x14ac:dyDescent="0.25">
      <c r="A44" t="s">
        <v>24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0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0</v>
      </c>
    </row>
    <row r="45" spans="1:9" hidden="1" x14ac:dyDescent="0.25">
      <c r="A45" t="s">
        <v>24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172698.38963314588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44370.532475093103</v>
      </c>
    </row>
    <row r="46" spans="1:9" hidden="1" x14ac:dyDescent="0.25">
      <c r="A46" t="s">
        <v>24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162502.61268805928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196337.31428605763</v>
      </c>
    </row>
    <row r="47" spans="1:9" hidden="1" x14ac:dyDescent="0.25">
      <c r="A47" t="s">
        <v>24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41667.79106598362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26638.18036097239</v>
      </c>
    </row>
    <row r="48" spans="1:9" hidden="1" x14ac:dyDescent="0.25">
      <c r="A48" t="s">
        <v>24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79447.372407112256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24376.47640121137</v>
      </c>
    </row>
    <row r="49" spans="1:9" hidden="1" x14ac:dyDescent="0.25">
      <c r="A49" t="s">
        <v>24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23733.116798028695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37184.355853018991</v>
      </c>
    </row>
    <row r="50" spans="1:9" hidden="1" x14ac:dyDescent="0.25">
      <c r="A50" t="s">
        <v>24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18314.785524866154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11708.625477922109</v>
      </c>
    </row>
    <row r="51" spans="1:9" hidden="1" x14ac:dyDescent="0.25">
      <c r="A51" t="s">
        <v>24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1787.9048045348884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1143.0058909537534</v>
      </c>
    </row>
    <row r="52" spans="1:9" hidden="1" x14ac:dyDescent="0.25">
      <c r="A52" t="s">
        <v>24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40567.410384497816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17129.989529427923</v>
      </c>
    </row>
    <row r="53" spans="1:9" hidden="1" x14ac:dyDescent="0.25">
      <c r="A53" t="s">
        <v>24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14897.502511358665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18328.678079943478</v>
      </c>
    </row>
    <row r="54" spans="1:9" hidden="1" x14ac:dyDescent="0.25">
      <c r="A54" t="s">
        <v>24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19897.459682199926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12720.427605588167</v>
      </c>
    </row>
    <row r="55" spans="1:9" hidden="1" x14ac:dyDescent="0.25">
      <c r="A55" t="s">
        <v>24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20930.3776507398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13380.771109290645</v>
      </c>
    </row>
    <row r="56" spans="1:9" hidden="1" x14ac:dyDescent="0.25">
      <c r="A56" t="s">
        <v>24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5642.7197646373925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3607.38553620004</v>
      </c>
    </row>
    <row r="57" spans="1:9" hidden="1" x14ac:dyDescent="0.25">
      <c r="A57" t="s">
        <v>24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2075.5733753802315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1326.9121427208943</v>
      </c>
    </row>
    <row r="58" spans="1:9" hidden="1" x14ac:dyDescent="0.25">
      <c r="A58" t="s">
        <v>24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84459.789309670814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31983.269138445532</v>
      </c>
    </row>
    <row r="59" spans="1:9" hidden="1" x14ac:dyDescent="0.25">
      <c r="A59" t="s">
        <v>24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0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0</v>
      </c>
    </row>
    <row r="60" spans="1:9" hidden="1" x14ac:dyDescent="0.25">
      <c r="A60" t="s">
        <v>24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0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0</v>
      </c>
    </row>
    <row r="61" spans="1:9" hidden="1" x14ac:dyDescent="0.25">
      <c r="A61" t="s">
        <v>24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0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0</v>
      </c>
    </row>
    <row r="62" spans="1:9" hidden="1" x14ac:dyDescent="0.25">
      <c r="A62" t="s">
        <v>24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0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0</v>
      </c>
    </row>
    <row r="63" spans="1:9" hidden="1" x14ac:dyDescent="0.25">
      <c r="A63" t="s">
        <v>24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0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0</v>
      </c>
    </row>
    <row r="64" spans="1:9" hidden="1" x14ac:dyDescent="0.25">
      <c r="A64" t="s">
        <v>24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0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0</v>
      </c>
    </row>
    <row r="65" spans="1:9" hidden="1" x14ac:dyDescent="0.25">
      <c r="A65" t="s">
        <v>24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0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0</v>
      </c>
    </row>
    <row r="66" spans="1:9" hidden="1" x14ac:dyDescent="0.25">
      <c r="A66" t="s">
        <v>24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0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0</v>
      </c>
    </row>
    <row r="67" spans="1:9" hidden="1" x14ac:dyDescent="0.25">
      <c r="A67" t="s">
        <v>24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0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0</v>
      </c>
    </row>
    <row r="68" spans="1:9" hidden="1" x14ac:dyDescent="0.25">
      <c r="A68" t="s">
        <v>24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0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0</v>
      </c>
    </row>
    <row r="69" spans="1:9" hidden="1" x14ac:dyDescent="0.25">
      <c r="A69" t="s">
        <v>24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0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0</v>
      </c>
    </row>
    <row r="70" spans="1:9" hidden="1" x14ac:dyDescent="0.25">
      <c r="A70" t="s">
        <v>24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0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0</v>
      </c>
    </row>
    <row r="71" spans="1:9" hidden="1" x14ac:dyDescent="0.25">
      <c r="A71" t="s">
        <v>24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0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0</v>
      </c>
    </row>
    <row r="72" spans="1:9" hidden="1" x14ac:dyDescent="0.25">
      <c r="A72" t="s">
        <v>24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0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0</v>
      </c>
    </row>
    <row r="73" spans="1:9" hidden="1" x14ac:dyDescent="0.25">
      <c r="A73" t="s">
        <v>24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0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0</v>
      </c>
    </row>
    <row r="74" spans="1:9" hidden="1" x14ac:dyDescent="0.25">
      <c r="A74" t="s">
        <v>24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0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0</v>
      </c>
    </row>
    <row r="75" spans="1:9" hidden="1" x14ac:dyDescent="0.25">
      <c r="A75" t="s">
        <v>24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0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0</v>
      </c>
    </row>
    <row r="76" spans="1:9" hidden="1" x14ac:dyDescent="0.25">
      <c r="A76" t="s">
        <v>24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0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0</v>
      </c>
    </row>
    <row r="77" spans="1:9" hidden="1" x14ac:dyDescent="0.25">
      <c r="A77" t="s">
        <v>24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0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0</v>
      </c>
    </row>
    <row r="78" spans="1:9" hidden="1" x14ac:dyDescent="0.25">
      <c r="A78" t="s">
        <v>24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0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0</v>
      </c>
    </row>
    <row r="79" spans="1:9" hidden="1" x14ac:dyDescent="0.25">
      <c r="A79" t="s">
        <v>24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0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0</v>
      </c>
    </row>
    <row r="80" spans="1:9" hidden="1" x14ac:dyDescent="0.25">
      <c r="A80" t="s">
        <v>24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0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0</v>
      </c>
    </row>
    <row r="81" spans="1:9" hidden="1" x14ac:dyDescent="0.25">
      <c r="A81" t="s">
        <v>24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0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0</v>
      </c>
    </row>
    <row r="82" spans="1:9" hidden="1" x14ac:dyDescent="0.25">
      <c r="A82" t="s">
        <v>24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0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0</v>
      </c>
    </row>
    <row r="83" spans="1:9" hidden="1" x14ac:dyDescent="0.25">
      <c r="A83" t="s">
        <v>24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0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0</v>
      </c>
    </row>
    <row r="84" spans="1:9" hidden="1" x14ac:dyDescent="0.25">
      <c r="A84" t="s">
        <v>24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0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0</v>
      </c>
    </row>
    <row r="85" spans="1:9" hidden="1" x14ac:dyDescent="0.25">
      <c r="A85" t="s">
        <v>24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0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0</v>
      </c>
    </row>
    <row r="86" spans="1:9" hidden="1" x14ac:dyDescent="0.25">
      <c r="A86" t="s">
        <v>24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0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0</v>
      </c>
    </row>
    <row r="87" spans="1:9" hidden="1" x14ac:dyDescent="0.25">
      <c r="A87" t="s">
        <v>25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149841.88011277147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0</v>
      </c>
    </row>
    <row r="88" spans="1:9" hidden="1" x14ac:dyDescent="0.25">
      <c r="A88" t="s">
        <v>25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3265.7793246486704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0</v>
      </c>
    </row>
    <row r="89" spans="1:9" hidden="1" x14ac:dyDescent="0.25">
      <c r="A89" t="s">
        <v>25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20716.164134757324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0</v>
      </c>
    </row>
    <row r="90" spans="1:9" hidden="1" x14ac:dyDescent="0.25">
      <c r="A90" t="s">
        <v>25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12585.585572688986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0</v>
      </c>
    </row>
    <row r="91" spans="1:9" hidden="1" x14ac:dyDescent="0.25">
      <c r="A91" t="s">
        <v>25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1972.1645512572102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0</v>
      </c>
    </row>
    <row r="92" spans="1:9" hidden="1" x14ac:dyDescent="0.25">
      <c r="A92" t="s">
        <v>25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1265.1484015207616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0</v>
      </c>
    </row>
    <row r="93" spans="1:9" hidden="1" x14ac:dyDescent="0.25">
      <c r="A93" t="s">
        <v>25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3122.1791080683429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0</v>
      </c>
    </row>
    <row r="94" spans="1:9" hidden="1" x14ac:dyDescent="0.25">
      <c r="A94" t="s">
        <v>25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3719.8713198652576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0</v>
      </c>
    </row>
    <row r="95" spans="1:9" hidden="1" x14ac:dyDescent="0.25">
      <c r="A95" t="s">
        <v>25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10895.352017639287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0</v>
      </c>
    </row>
    <row r="96" spans="1:9" hidden="1" x14ac:dyDescent="0.25">
      <c r="A96" t="s">
        <v>25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6180.4056844499446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0</v>
      </c>
    </row>
    <row r="97" spans="1:9" hidden="1" x14ac:dyDescent="0.25">
      <c r="A97" t="s">
        <v>25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19121.992898738237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0</v>
      </c>
    </row>
    <row r="98" spans="1:9" hidden="1" x14ac:dyDescent="0.25">
      <c r="A98" t="s">
        <v>25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1356.3029011647714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0</v>
      </c>
    </row>
    <row r="99" spans="1:9" hidden="1" x14ac:dyDescent="0.25">
      <c r="A99" t="s">
        <v>25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644.6996597846429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0</v>
      </c>
    </row>
    <row r="100" spans="1:9" hidden="1" x14ac:dyDescent="0.25">
      <c r="A100" t="s">
        <v>25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16057.66871242961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0</v>
      </c>
    </row>
    <row r="101" spans="1:9" hidden="1" x14ac:dyDescent="0.25">
      <c r="A101" t="s">
        <v>25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0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0</v>
      </c>
    </row>
    <row r="102" spans="1:9" hidden="1" x14ac:dyDescent="0.25">
      <c r="A102" t="s">
        <v>25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0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0</v>
      </c>
    </row>
    <row r="103" spans="1:9" hidden="1" x14ac:dyDescent="0.25">
      <c r="A103" t="s">
        <v>25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0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0</v>
      </c>
    </row>
    <row r="104" spans="1:9" hidden="1" x14ac:dyDescent="0.25">
      <c r="A104" t="s">
        <v>25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0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0</v>
      </c>
    </row>
    <row r="105" spans="1:9" hidden="1" x14ac:dyDescent="0.25">
      <c r="A105" t="s">
        <v>25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0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0</v>
      </c>
    </row>
    <row r="106" spans="1:9" hidden="1" x14ac:dyDescent="0.25">
      <c r="A106" t="s">
        <v>25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0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0</v>
      </c>
    </row>
    <row r="107" spans="1:9" hidden="1" x14ac:dyDescent="0.25">
      <c r="A107" t="s">
        <v>25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0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0</v>
      </c>
    </row>
    <row r="108" spans="1:9" hidden="1" x14ac:dyDescent="0.25">
      <c r="A108" t="s">
        <v>25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0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0</v>
      </c>
    </row>
    <row r="109" spans="1:9" hidden="1" x14ac:dyDescent="0.25">
      <c r="A109" t="s">
        <v>25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0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0</v>
      </c>
    </row>
    <row r="110" spans="1:9" hidden="1" x14ac:dyDescent="0.25">
      <c r="A110" t="s">
        <v>25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0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0</v>
      </c>
    </row>
    <row r="111" spans="1:9" hidden="1" x14ac:dyDescent="0.25">
      <c r="A111" t="s">
        <v>25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0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0</v>
      </c>
    </row>
    <row r="112" spans="1:9" hidden="1" x14ac:dyDescent="0.25">
      <c r="A112" t="s">
        <v>25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0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0</v>
      </c>
    </row>
    <row r="113" spans="1:9" hidden="1" x14ac:dyDescent="0.25">
      <c r="A113" t="s">
        <v>25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0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0</v>
      </c>
    </row>
    <row r="114" spans="1:9" hidden="1" x14ac:dyDescent="0.25">
      <c r="A114" t="s">
        <v>25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0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0</v>
      </c>
    </row>
    <row r="115" spans="1:9" hidden="1" x14ac:dyDescent="0.25">
      <c r="A115" t="s">
        <v>25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0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0</v>
      </c>
    </row>
    <row r="116" spans="1:9" hidden="1" x14ac:dyDescent="0.25">
      <c r="A116" t="s">
        <v>25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0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0</v>
      </c>
    </row>
    <row r="117" spans="1:9" hidden="1" x14ac:dyDescent="0.25">
      <c r="A117" t="s">
        <v>25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0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0</v>
      </c>
    </row>
    <row r="118" spans="1:9" hidden="1" x14ac:dyDescent="0.25">
      <c r="A118" t="s">
        <v>25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0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0</v>
      </c>
    </row>
    <row r="119" spans="1:9" hidden="1" x14ac:dyDescent="0.25">
      <c r="A119" t="s">
        <v>25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0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0</v>
      </c>
    </row>
    <row r="120" spans="1:9" hidden="1" x14ac:dyDescent="0.25">
      <c r="A120" t="s">
        <v>25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0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0</v>
      </c>
    </row>
    <row r="121" spans="1:9" hidden="1" x14ac:dyDescent="0.25">
      <c r="A121" t="s">
        <v>25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0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0</v>
      </c>
    </row>
    <row r="122" spans="1:9" hidden="1" x14ac:dyDescent="0.25">
      <c r="A122" t="s">
        <v>25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0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0</v>
      </c>
    </row>
    <row r="123" spans="1:9" hidden="1" x14ac:dyDescent="0.25">
      <c r="A123" t="s">
        <v>25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0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0</v>
      </c>
    </row>
    <row r="124" spans="1:9" hidden="1" x14ac:dyDescent="0.25">
      <c r="A124" t="s">
        <v>25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0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0</v>
      </c>
    </row>
    <row r="125" spans="1:9" hidden="1" x14ac:dyDescent="0.25">
      <c r="A125" t="s">
        <v>25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0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0</v>
      </c>
    </row>
    <row r="126" spans="1:9" hidden="1" x14ac:dyDescent="0.25">
      <c r="A126" t="s">
        <v>25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0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0</v>
      </c>
    </row>
    <row r="127" spans="1:9" hidden="1" x14ac:dyDescent="0.25">
      <c r="A127" t="s">
        <v>25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0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0</v>
      </c>
    </row>
    <row r="128" spans="1:9" hidden="1" x14ac:dyDescent="0.25">
      <c r="A128" t="s">
        <v>25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0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0</v>
      </c>
    </row>
    <row r="129" spans="1:9" hidden="1" x14ac:dyDescent="0.25">
      <c r="A129" t="s">
        <v>25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149841.88011277147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239333.33810745462</v>
      </c>
    </row>
    <row r="130" spans="1:9" hidden="1" x14ac:dyDescent="0.25">
      <c r="A130" t="s">
        <v>25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3265.7793246486704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5216.2310477033061</v>
      </c>
    </row>
    <row r="131" spans="1:9" hidden="1" x14ac:dyDescent="0.25">
      <c r="A131" t="s">
        <v>25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20716.164134757324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33088.671280832452</v>
      </c>
    </row>
    <row r="132" spans="1:9" hidden="1" x14ac:dyDescent="0.25">
      <c r="A132" t="s">
        <v>25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12585.585572688986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20102.191756281507</v>
      </c>
    </row>
    <row r="133" spans="1:9" hidden="1" x14ac:dyDescent="0.25">
      <c r="A133" t="s">
        <v>25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1972.1645512572102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3150.0187063479598</v>
      </c>
    </row>
    <row r="134" spans="1:9" hidden="1" x14ac:dyDescent="0.25">
      <c r="A134" t="s">
        <v>25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1265.1484015207616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2020.744733777979</v>
      </c>
    </row>
    <row r="135" spans="1:9" hidden="1" x14ac:dyDescent="0.25">
      <c r="A135" t="s">
        <v>25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3122.1791080683429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4986.8671398208262</v>
      </c>
    </row>
    <row r="136" spans="1:9" hidden="1" x14ac:dyDescent="0.25">
      <c r="A136" t="s">
        <v>25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3719.8713198652576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5941.5246234464012</v>
      </c>
    </row>
    <row r="137" spans="1:9" hidden="1" x14ac:dyDescent="0.25">
      <c r="A137" t="s">
        <v>25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10895.352017639287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17402.484313964145</v>
      </c>
    </row>
    <row r="138" spans="1:9" hidden="1" x14ac:dyDescent="0.25">
      <c r="A138" t="s">
        <v>25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6180.4056844499446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9871.5867833776501</v>
      </c>
    </row>
    <row r="139" spans="1:9" hidden="1" x14ac:dyDescent="0.25">
      <c r="A139" t="s">
        <v>25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19121.992898738237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30542.398348697665</v>
      </c>
    </row>
    <row r="140" spans="1:9" hidden="1" x14ac:dyDescent="0.25">
      <c r="A140" t="s">
        <v>25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1356.3029011647714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2166.3402820112005</v>
      </c>
    </row>
    <row r="141" spans="1:9" hidden="1" x14ac:dyDescent="0.25">
      <c r="A141" t="s">
        <v>25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644.6996597846429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1029.7396264440467</v>
      </c>
    </row>
    <row r="142" spans="1:9" hidden="1" x14ac:dyDescent="0.25">
      <c r="A142" t="s">
        <v>25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16057.66871242961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25647.939362994217</v>
      </c>
    </row>
    <row r="143" spans="1:9" hidden="1" x14ac:dyDescent="0.25">
      <c r="A143" t="s">
        <v>25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0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0</v>
      </c>
    </row>
    <row r="144" spans="1:9" hidden="1" x14ac:dyDescent="0.25">
      <c r="A144" t="s">
        <v>25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0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0</v>
      </c>
    </row>
    <row r="145" spans="1:9" hidden="1" x14ac:dyDescent="0.25">
      <c r="A145" t="s">
        <v>25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0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0</v>
      </c>
    </row>
    <row r="146" spans="1:9" hidden="1" x14ac:dyDescent="0.25">
      <c r="A146" t="s">
        <v>25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0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0</v>
      </c>
    </row>
    <row r="147" spans="1:9" hidden="1" x14ac:dyDescent="0.25">
      <c r="A147" t="s">
        <v>25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0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0</v>
      </c>
    </row>
    <row r="148" spans="1:9" hidden="1" x14ac:dyDescent="0.25">
      <c r="A148" t="s">
        <v>25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0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0</v>
      </c>
    </row>
    <row r="149" spans="1:9" hidden="1" x14ac:dyDescent="0.25">
      <c r="A149" t="s">
        <v>25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0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0</v>
      </c>
    </row>
    <row r="150" spans="1:9" hidden="1" x14ac:dyDescent="0.25">
      <c r="A150" t="s">
        <v>25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0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0</v>
      </c>
    </row>
    <row r="151" spans="1:9" hidden="1" x14ac:dyDescent="0.25">
      <c r="A151" t="s">
        <v>25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0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0</v>
      </c>
    </row>
    <row r="152" spans="1:9" hidden="1" x14ac:dyDescent="0.25">
      <c r="A152" t="s">
        <v>25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0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0</v>
      </c>
    </row>
    <row r="153" spans="1:9" hidden="1" x14ac:dyDescent="0.25">
      <c r="A153" t="s">
        <v>25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0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0</v>
      </c>
    </row>
    <row r="154" spans="1:9" hidden="1" x14ac:dyDescent="0.25">
      <c r="A154" t="s">
        <v>25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0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0</v>
      </c>
    </row>
    <row r="155" spans="1:9" hidden="1" x14ac:dyDescent="0.25">
      <c r="A155" t="s">
        <v>25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0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0</v>
      </c>
    </row>
    <row r="156" spans="1:9" hidden="1" x14ac:dyDescent="0.25">
      <c r="A156" t="s">
        <v>25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0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0</v>
      </c>
    </row>
    <row r="157" spans="1:9" hidden="1" x14ac:dyDescent="0.25">
      <c r="A157" t="s">
        <v>25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0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0</v>
      </c>
    </row>
    <row r="158" spans="1:9" hidden="1" x14ac:dyDescent="0.25">
      <c r="A158" t="s">
        <v>25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0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0</v>
      </c>
    </row>
    <row r="159" spans="1:9" hidden="1" x14ac:dyDescent="0.25">
      <c r="A159" t="s">
        <v>25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0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0</v>
      </c>
    </row>
    <row r="160" spans="1:9" hidden="1" x14ac:dyDescent="0.25">
      <c r="A160" t="s">
        <v>25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0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0</v>
      </c>
    </row>
    <row r="161" spans="1:9" hidden="1" x14ac:dyDescent="0.25">
      <c r="A161" t="s">
        <v>25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</v>
      </c>
    </row>
    <row r="162" spans="1:9" hidden="1" x14ac:dyDescent="0.25">
      <c r="A162" t="s">
        <v>25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0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0</v>
      </c>
    </row>
    <row r="163" spans="1:9" hidden="1" x14ac:dyDescent="0.25">
      <c r="A163" t="s">
        <v>25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0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0</v>
      </c>
    </row>
    <row r="164" spans="1:9" hidden="1" x14ac:dyDescent="0.25">
      <c r="A164" t="s">
        <v>25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0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0</v>
      </c>
    </row>
    <row r="165" spans="1:9" hidden="1" x14ac:dyDescent="0.25">
      <c r="A165" t="s">
        <v>25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0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0</v>
      </c>
    </row>
    <row r="166" spans="1:9" hidden="1" x14ac:dyDescent="0.25">
      <c r="A166" t="s">
        <v>25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0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0</v>
      </c>
    </row>
    <row r="167" spans="1:9" hidden="1" x14ac:dyDescent="0.25">
      <c r="A167" t="s">
        <v>25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0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0</v>
      </c>
    </row>
    <row r="168" spans="1:9" hidden="1" x14ac:dyDescent="0.25">
      <c r="A168" t="s">
        <v>25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0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0</v>
      </c>
    </row>
    <row r="169" spans="1:9" hidden="1" x14ac:dyDescent="0.25">
      <c r="A169" t="s">
        <v>25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0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0</v>
      </c>
    </row>
    <row r="170" spans="1:9" hidden="1" x14ac:dyDescent="0.25">
      <c r="A170" t="s">
        <v>25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0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0</v>
      </c>
    </row>
    <row r="171" spans="1:9" x14ac:dyDescent="0.25">
      <c r="A171" t="s">
        <v>24</v>
      </c>
      <c r="B171" t="s">
        <v>23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SUMIFS($G$3:$G$182,$A$3:$A$182,$A171,$B$3:$B$182,$B171)*VLOOKUP($B171,Landbrug!$B$11:$D$13,2,FALSE)*IF($C171&lt;&gt;"Økologisk",1-VLOOKUP($B171,Landbrug!$B$6:$E$8,3,FALSE),VLOOKUP($B171,Landbrug!$B$6:$E$8,3,FALSE))</f>
        <v>3080129.8315355</v>
      </c>
      <c r="I171" s="97">
        <f>SUMIFS($G$3:$G$182,$A$3:$A$182,$A171,$B$3:$B$182,$B171)*VLOOKUP($B171,Landbrug!$B$11:$D$13,3,FALSE)*IF($C171&lt;&gt;"Økologisk",1-VLOOKUP($B171,Landbrug!$B$6:$E$8,4,FALSE),VLOOKUP($B171,Landbrug!$B$6:$E$8,4,FALSE))</f>
        <v>78903.816307100002</v>
      </c>
    </row>
    <row r="172" spans="1:9" x14ac:dyDescent="0.25">
      <c r="A172" t="s">
        <v>25</v>
      </c>
      <c r="B172" t="s">
        <v>23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SUMIFS($G$3:$G$182,$A$3:$A$182,$A172,$B$3:$B$182,$B172)*VLOOKUP($B172,Landbrug!$B$11:$D$13,2,FALSE)*IF($C172&lt;&gt;"Økologisk",1-VLOOKUP($B172,Landbrug!$B$6:$E$8,3,FALSE),VLOOKUP($B172,Landbrug!$B$6:$E$8,3,FALSE))</f>
        <v>446301.92677277885</v>
      </c>
      <c r="I172" s="97">
        <f>SUMIFS($G$3:$G$182,$A$3:$A$182,$A172,$B$3:$B$182,$B172)*VLOOKUP($B172,Landbrug!$B$11:$D$13,3,FALSE)*IF($C172&lt;&gt;"Økologisk",1-VLOOKUP($B172,Landbrug!$B$6:$E$8,4,FALSE),VLOOKUP($B172,Landbrug!$B$6:$E$8,4,FALSE))</f>
        <v>11432.935354555775</v>
      </c>
    </row>
    <row r="173" spans="1:9" x14ac:dyDescent="0.25">
      <c r="A173" t="s">
        <v>24</v>
      </c>
      <c r="B173" t="s">
        <v>23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SUMIFS($G$3:$G$182,$A$3:$A$182,$A173,$B$3:$B$182,$B173)*VLOOKUP($B173,Landbrug!$B$11:$D$13,2,FALSE)*IF($C173&lt;&gt;"Økologisk",1-VLOOKUP($B173,Landbrug!$B$6:$E$8,3,FALSE),VLOOKUP($B173,Landbrug!$B$6:$E$8,3,FALSE))</f>
        <v>2291091.6684645</v>
      </c>
      <c r="I173" s="97">
        <f>SUMIFS($G$3:$G$182,$A$3:$A$182,$A173,$B$3:$B$182,$B173)*VLOOKUP($B173,Landbrug!$B$11:$D$13,3,FALSE)*IF($C173&lt;&gt;"Økologisk",1-VLOOKUP($B173,Landbrug!$B$6:$E$8,4,FALSE),VLOOKUP($B173,Landbrug!$B$6:$E$8,4,FALSE))</f>
        <v>995340.48369290004</v>
      </c>
    </row>
    <row r="174" spans="1:9" x14ac:dyDescent="0.25">
      <c r="A174" t="s">
        <v>25</v>
      </c>
      <c r="B174" t="s">
        <v>23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SUMIFS($G$3:$G$182,$A$3:$A$182,$A174,$B$3:$B$182,$B174)*VLOOKUP($B174,Landbrug!$B$11:$D$13,2,FALSE)*IF($C174&lt;&gt;"Økologisk",1-VLOOKUP($B174,Landbrug!$B$6:$E$8,3,FALSE),VLOOKUP($B174,Landbrug!$B$6:$E$8,3,FALSE))</f>
        <v>331972.57322722115</v>
      </c>
      <c r="I174" s="97">
        <f>SUMIFS($G$3:$G$182,$A$3:$A$182,$A174,$B$3:$B$182,$B174)*VLOOKUP($B174,Landbrug!$B$11:$D$13,3,FALSE)*IF($C174&lt;&gt;"Økologisk",1-VLOOKUP($B174,Landbrug!$B$6:$E$8,4,FALSE),VLOOKUP($B174,Landbrug!$B$6:$E$8,4,FALSE))</f>
        <v>144221.96464544421</v>
      </c>
    </row>
    <row r="175" spans="1:9" hidden="1" x14ac:dyDescent="0.25">
      <c r="A175" t="s">
        <v>24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SUMIFS($G$3:$G$182,$A$3:$A$182,$A175,$B$3:$B$182,$B175)*VLOOKUP($B175,Landbrug!$B$11:$D$13,2,FALSE)*IF($C175&lt;&gt;"Økologisk",1-VLOOKUP($B175,Landbrug!$B$6:$E$8,3,FALSE),VLOOKUP($B175,Landbrug!$B$6:$E$8,3,FALSE))</f>
        <v>322314.87160400534</v>
      </c>
      <c r="I175" s="97">
        <f>SUMIFS($G$3:$G$182,$A$3:$A$182,$A175,$B$3:$B$182,$B175)*VLOOKUP($B175,Landbrug!$B$11:$D$13,3,FALSE)*IF($C175&lt;&gt;"Økologisk",1-VLOOKUP($B175,Landbrug!$B$6:$E$8,4,FALSE),VLOOKUP($B175,Landbrug!$B$6:$E$8,4,FALSE))</f>
        <v>-5160.2256791989348</v>
      </c>
    </row>
    <row r="176" spans="1:9" hidden="1" x14ac:dyDescent="0.25">
      <c r="A176" t="s">
        <v>25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SUMIFS($G$3:$G$182,$A$3:$A$182,$A176,$B$3:$B$182,$B176)*VLOOKUP($B176,Landbrug!$B$11:$D$13,2,FALSE)*IF($C176&lt;&gt;"Økologisk",1-VLOOKUP($B176,Landbrug!$B$6:$E$8,3,FALSE),VLOOKUP($B176,Landbrug!$B$6:$E$8,3,FALSE))</f>
        <v>22908.21034720122</v>
      </c>
      <c r="I176" s="97">
        <f>SUMIFS($G$3:$G$182,$A$3:$A$182,$A176,$B$3:$B$182,$B176)*VLOOKUP($B176,Landbrug!$B$11:$D$13,3,FALSE)*IF($C176&lt;&gt;"Økologisk",1-VLOOKUP($B176,Landbrug!$B$6:$E$8,4,FALSE),VLOOKUP($B176,Landbrug!$B$6:$E$8,4,FALSE))</f>
        <v>-366.75793055975618</v>
      </c>
    </row>
    <row r="177" spans="1:9" hidden="1" x14ac:dyDescent="0.25">
      <c r="A177" t="s">
        <v>24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SUMIFS($G$3:$G$182,$A$3:$A$182,$A177,$B$3:$B$182,$B177)*VLOOKUP($B177,Landbrug!$B$11:$D$13,2,FALSE)*IF($C177&lt;&gt;"Økologisk",1-VLOOKUP($B177,Landbrug!$B$6:$E$8,3,FALSE),VLOOKUP($B177,Landbrug!$B$6:$E$8,3,FALSE))</f>
        <v>373917.12839599466</v>
      </c>
      <c r="I177" s="97">
        <f>SUMIFS($G$3:$G$182,$A$3:$A$182,$A177,$B$3:$B$182,$B177)*VLOOKUP($B177,Landbrug!$B$11:$D$13,3,FALSE)*IF($C177&lt;&gt;"Økologisk",1-VLOOKUP($B177,Landbrug!$B$6:$E$8,4,FALSE),VLOOKUP($B177,Landbrug!$B$6:$E$8,4,FALSE))</f>
        <v>144406.62567919894</v>
      </c>
    </row>
    <row r="178" spans="1:9" hidden="1" x14ac:dyDescent="0.25">
      <c r="A178" t="s">
        <v>25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SUMIFS($G$3:$G$182,$A$3:$A$182,$A178,$B$3:$B$182,$B178)*VLOOKUP($B178,Landbrug!$B$11:$D$13,2,FALSE)*IF($C178&lt;&gt;"Økologisk",1-VLOOKUP($B178,Landbrug!$B$6:$E$8,3,FALSE),VLOOKUP($B178,Landbrug!$B$6:$E$8,3,FALSE))</f>
        <v>26575.78965279878</v>
      </c>
      <c r="I178" s="97">
        <f>SUMIFS($G$3:$G$182,$A$3:$A$182,$A178,$B$3:$B$182,$B178)*VLOOKUP($B178,Landbrug!$B$11:$D$13,3,FALSE)*IF($C178&lt;&gt;"Økologisk",1-VLOOKUP($B178,Landbrug!$B$6:$E$8,4,FALSE),VLOOKUP($B178,Landbrug!$B$6:$E$8,4,FALSE))</f>
        <v>10263.557930559757</v>
      </c>
    </row>
    <row r="179" spans="1:9" hidden="1" x14ac:dyDescent="0.25">
      <c r="A179" t="s">
        <v>24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SUMIFS($G$3:$G$182,$A$3:$A$182,$A179,$B$3:$B$182,$B179)*VLOOKUP($B179,Landbrug!$B$11:$D$13,2,FALSE)*IF($C179&lt;&gt;"Økologisk",1-VLOOKUP($B179,Landbrug!$B$6:$E$8,3,FALSE),VLOOKUP($B179,Landbrug!$B$6:$E$8,3,FALSE))</f>
        <v>5012718.1414474156</v>
      </c>
      <c r="I179" s="97">
        <f>SUMIFS($G$3:$G$182,$A$3:$A$182,$A179,$B$3:$B$182,$B179)*VLOOKUP($B179,Landbrug!$B$11:$D$13,3,FALSE)*IF($C179&lt;&gt;"Økologisk",1-VLOOKUP($B179,Landbrug!$B$6:$E$8,4,FALSE),VLOOKUP($B179,Landbrug!$B$6:$E$8,4,FALSE))</f>
        <v>-61173.071710517135</v>
      </c>
    </row>
    <row r="180" spans="1:9" hidden="1" x14ac:dyDescent="0.25">
      <c r="A180" t="s">
        <v>25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SUMIFS($G$3:$G$182,$A$3:$A$182,$A180,$B$3:$B$182,$B180)*VLOOKUP($B180,Landbrug!$B$11:$D$13,2,FALSE)*IF($C180&lt;&gt;"Økologisk",1-VLOOKUP($B180,Landbrug!$B$6:$E$8,3,FALSE),VLOOKUP($B180,Landbrug!$B$6:$E$8,3,FALSE))</f>
        <v>420715.58335537126</v>
      </c>
      <c r="I180" s="97">
        <f>SUMIFS($G$3:$G$182,$A$3:$A$182,$A180,$B$3:$B$182,$B180)*VLOOKUP($B180,Landbrug!$B$11:$D$13,3,FALSE)*IF($C180&lt;&gt;"Økologisk",1-VLOOKUP($B180,Landbrug!$B$6:$E$8,4,FALSE),VLOOKUP($B180,Landbrug!$B$6:$E$8,4,FALSE))</f>
        <v>-5134.2333289257731</v>
      </c>
    </row>
    <row r="181" spans="1:9" hidden="1" x14ac:dyDescent="0.25">
      <c r="A181" t="s">
        <v>24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SUMIFS($G$3:$G$182,$A$3:$A$182,$A181,$B$3:$B$182,$B181)*VLOOKUP($B181,Landbrug!$B$11:$D$13,2,FALSE)*IF($C181&lt;&gt;"Økologisk",1-VLOOKUP($B181,Landbrug!$B$6:$E$8,3,FALSE),VLOOKUP($B181,Landbrug!$B$6:$E$8,3,FALSE))</f>
        <v>5624448.8585525844</v>
      </c>
      <c r="I181" s="97">
        <f>SUMIFS($G$3:$G$182,$A$3:$A$182,$A181,$B$3:$B$182,$B181)*VLOOKUP($B181,Landbrug!$B$11:$D$13,3,FALSE)*IF($C181&lt;&gt;"Økologisk",1-VLOOKUP($B181,Landbrug!$B$6:$E$8,4,FALSE),VLOOKUP($B181,Landbrug!$B$6:$E$8,4,FALSE))</f>
        <v>2188606.4717105171</v>
      </c>
    </row>
    <row r="182" spans="1:9" hidden="1" x14ac:dyDescent="0.25">
      <c r="A182" t="s">
        <v>25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SUMIFS($G$3:$G$182,$A$3:$A$182,$A182,$B$3:$B$182,$B182)*VLOOKUP($B182,Landbrug!$B$11:$D$13,2,FALSE)*IF($C182&lt;&gt;"Økologisk",1-VLOOKUP($B182,Landbrug!$B$6:$E$8,3,FALSE),VLOOKUP($B182,Landbrug!$B$6:$E$8,3,FALSE))</f>
        <v>472057.91664462874</v>
      </c>
      <c r="I182" s="97">
        <f>SUMIFS($G$3:$G$182,$A$3:$A$182,$A182,$B$3:$B$182,$B182)*VLOOKUP($B182,Landbrug!$B$11:$D$13,3,FALSE)*IF($C182&lt;&gt;"Økologisk",1-VLOOKUP($B182,Landbrug!$B$6:$E$8,4,FALSE),VLOOKUP($B182,Landbrug!$B$6:$E$8,4,FALSE))</f>
        <v>183688.93332892578</v>
      </c>
    </row>
    <row r="183" spans="1:9" hidden="1" x14ac:dyDescent="0.25">
      <c r="A183" t="s">
        <v>24</v>
      </c>
      <c r="B183" t="s">
        <v>77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25">
      <c r="A184" t="s">
        <v>25</v>
      </c>
      <c r="B184" t="s">
        <v>77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25">
      <c r="A185" t="s">
        <v>24</v>
      </c>
      <c r="B185" t="s">
        <v>190</v>
      </c>
      <c r="D185" t="s">
        <v>190</v>
      </c>
      <c r="E185" s="157" t="s">
        <v>189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24</v>
      </c>
      <c r="B186" t="s">
        <v>184</v>
      </c>
      <c r="D186" t="s">
        <v>184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448670.94674746168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488124.17590251542</v>
      </c>
    </row>
    <row r="187" spans="1:9" hidden="1" x14ac:dyDescent="0.25">
      <c r="A187" t="s">
        <v>24</v>
      </c>
      <c r="B187" t="s">
        <v>184</v>
      </c>
      <c r="D187" t="s">
        <v>184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44867.094674746164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488124.17590251542</v>
      </c>
    </row>
    <row r="188" spans="1:9" hidden="1" x14ac:dyDescent="0.25">
      <c r="A188" t="s">
        <v>24</v>
      </c>
      <c r="B188" t="s">
        <v>184</v>
      </c>
      <c r="D188" t="s">
        <v>184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448670.94674746168</v>
      </c>
    </row>
    <row r="189" spans="1:9" hidden="1" x14ac:dyDescent="0.25">
      <c r="A189" t="s">
        <v>24</v>
      </c>
      <c r="B189" t="s">
        <v>184</v>
      </c>
      <c r="D189" t="s">
        <v>184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44867.094674746164</v>
      </c>
    </row>
    <row r="190" spans="1:9" hidden="1" x14ac:dyDescent="0.25">
      <c r="A190" t="s">
        <v>24</v>
      </c>
      <c r="B190" t="s">
        <v>185</v>
      </c>
      <c r="D190" t="s">
        <v>185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24</v>
      </c>
      <c r="B191" t="s">
        <v>185</v>
      </c>
      <c r="D191" t="s">
        <v>185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24</v>
      </c>
      <c r="B192" t="s">
        <v>185</v>
      </c>
      <c r="D192" t="s">
        <v>185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24</v>
      </c>
      <c r="B193" t="s">
        <v>185</v>
      </c>
      <c r="D193" t="s">
        <v>185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24</v>
      </c>
      <c r="B194" t="s">
        <v>186</v>
      </c>
      <c r="D194" t="s">
        <v>186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24</v>
      </c>
      <c r="B195" t="s">
        <v>186</v>
      </c>
      <c r="D195" t="s">
        <v>186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24</v>
      </c>
      <c r="B196" t="s">
        <v>186</v>
      </c>
      <c r="D196" t="s">
        <v>186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24</v>
      </c>
      <c r="B197" t="s">
        <v>186</v>
      </c>
      <c r="D197" t="s">
        <v>186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24</v>
      </c>
      <c r="B198" t="s">
        <v>187</v>
      </c>
      <c r="D198" t="s">
        <v>187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24</v>
      </c>
      <c r="B199" t="s">
        <v>187</v>
      </c>
      <c r="D199" t="s">
        <v>187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24</v>
      </c>
      <c r="B200" t="s">
        <v>187</v>
      </c>
      <c r="D200" t="s">
        <v>187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24</v>
      </c>
      <c r="B201" t="s">
        <v>187</v>
      </c>
      <c r="D201" t="s">
        <v>187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24</v>
      </c>
      <c r="B202" t="s">
        <v>188</v>
      </c>
      <c r="D202" t="s">
        <v>188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24</v>
      </c>
      <c r="B203" t="s">
        <v>188</v>
      </c>
      <c r="D203" t="s">
        <v>188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24</v>
      </c>
      <c r="B204" t="s">
        <v>188</v>
      </c>
      <c r="D204" t="s">
        <v>188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24</v>
      </c>
      <c r="B205" t="s">
        <v>188</v>
      </c>
      <c r="D205" t="s">
        <v>188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25</v>
      </c>
      <c r="B206" t="s">
        <v>190</v>
      </c>
      <c r="D206" t="s">
        <v>190</v>
      </c>
      <c r="E206" t="s">
        <v>189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25</v>
      </c>
      <c r="B207" t="s">
        <v>184</v>
      </c>
      <c r="D207" t="s">
        <v>184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52277.563800562246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56237.829271229559</v>
      </c>
    </row>
    <row r="208" spans="1:9" hidden="1" x14ac:dyDescent="0.25">
      <c r="A208" t="s">
        <v>25</v>
      </c>
      <c r="B208" t="s">
        <v>184</v>
      </c>
      <c r="D208" t="s">
        <v>184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5227.7563800562248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56237.829271229559</v>
      </c>
    </row>
    <row r="209" spans="1:9" hidden="1" x14ac:dyDescent="0.25">
      <c r="A209" t="s">
        <v>25</v>
      </c>
      <c r="B209" t="s">
        <v>184</v>
      </c>
      <c r="D209" t="s">
        <v>184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52277.563800562246</v>
      </c>
    </row>
    <row r="210" spans="1:9" hidden="1" x14ac:dyDescent="0.25">
      <c r="A210" t="s">
        <v>25</v>
      </c>
      <c r="B210" t="s">
        <v>184</v>
      </c>
      <c r="D210" t="s">
        <v>184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5227.7563800562248</v>
      </c>
    </row>
    <row r="211" spans="1:9" hidden="1" x14ac:dyDescent="0.25">
      <c r="A211" t="s">
        <v>25</v>
      </c>
      <c r="B211" t="s">
        <v>185</v>
      </c>
      <c r="D211" t="s">
        <v>185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25</v>
      </c>
      <c r="B212" t="s">
        <v>185</v>
      </c>
      <c r="D212" t="s">
        <v>185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25</v>
      </c>
      <c r="B213" t="s">
        <v>185</v>
      </c>
      <c r="D213" t="s">
        <v>185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25</v>
      </c>
      <c r="B214" t="s">
        <v>185</v>
      </c>
      <c r="D214" t="s">
        <v>185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25</v>
      </c>
      <c r="B215" t="s">
        <v>186</v>
      </c>
      <c r="D215" t="s">
        <v>186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25</v>
      </c>
      <c r="B216" t="s">
        <v>186</v>
      </c>
      <c r="D216" t="s">
        <v>186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25</v>
      </c>
      <c r="B217" t="s">
        <v>186</v>
      </c>
      <c r="D217" t="s">
        <v>186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25</v>
      </c>
      <c r="B218" t="s">
        <v>186</v>
      </c>
      <c r="D218" t="s">
        <v>186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25</v>
      </c>
      <c r="B219" t="s">
        <v>187</v>
      </c>
      <c r="D219" t="s">
        <v>187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25</v>
      </c>
      <c r="B220" t="s">
        <v>187</v>
      </c>
      <c r="D220" t="s">
        <v>187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25</v>
      </c>
      <c r="B221" t="s">
        <v>187</v>
      </c>
      <c r="D221" t="s">
        <v>187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25</v>
      </c>
      <c r="B222" t="s">
        <v>187</v>
      </c>
      <c r="D222" t="s">
        <v>187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25</v>
      </c>
      <c r="B223" t="s">
        <v>188</v>
      </c>
      <c r="D223" t="s">
        <v>188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25</v>
      </c>
      <c r="B224" t="s">
        <v>188</v>
      </c>
      <c r="D224" t="s">
        <v>188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25</v>
      </c>
      <c r="B225" t="s">
        <v>188</v>
      </c>
      <c r="D225" t="s">
        <v>188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25</v>
      </c>
      <c r="B226" t="s">
        <v>188</v>
      </c>
      <c r="D226" t="s">
        <v>188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hidden="1" x14ac:dyDescent="0.25">
      <c r="A227" t="s">
        <v>24</v>
      </c>
      <c r="B227" t="s">
        <v>100</v>
      </c>
      <c r="F227" t="str">
        <f>CONCATENATE(B227,"eareal")</f>
        <v>Muslingeareal</v>
      </c>
      <c r="G227" s="107">
        <f>SUMIFS(Havbrug!C$3:C$6,Havbrug!$A$3:$A$6,'Direkte input'!$B227,Havbrug!$B$3:$B$6,'Direkte input'!$A227)</f>
        <v>440.3</v>
      </c>
      <c r="H227" s="107">
        <f>SUMIFS(Havbrug!D$3:D$6,Havbrug!$A$3:$A$6,'Direkte input'!$B227,Havbrug!$B$3:$B$6,'Direkte input'!$A227)</f>
        <v>72570.000000000029</v>
      </c>
      <c r="I227" s="107">
        <f>SUMIFS(Havbrug!E$3:E$6,Havbrug!$A$3:$A$6,'Direkte input'!$B227,Havbrug!$B$3:$B$6,'Direkte input'!$A227)</f>
        <v>108410.00000000003</v>
      </c>
    </row>
    <row r="228" spans="1:9" hidden="1" x14ac:dyDescent="0.25">
      <c r="A228" t="s">
        <v>25</v>
      </c>
      <c r="B228" t="s">
        <v>100</v>
      </c>
      <c r="F228" t="str">
        <f>CONCATENATE(B228,"eareal")</f>
        <v>Muslingeareal</v>
      </c>
      <c r="G228" s="107">
        <f>SUMIFS(Havbrug!C$3:C$6,Havbrug!$A$3:$A$6,'Direkte input'!$B228,Havbrug!$B$3:$B$6,'Direkte input'!$A228)</f>
        <v>0.6</v>
      </c>
      <c r="H228" s="107">
        <f>SUMIFS(Havbrug!D$3:D$6,Havbrug!$A$3:$A$6,'Direkte input'!$B228,Havbrug!$B$3:$B$6,'Direkte input'!$A228)</f>
        <v>1610</v>
      </c>
      <c r="I228" s="107">
        <f>SUMIFS(Havbrug!E$3:E$6,Havbrug!$A$3:$A$6,'Direkte input'!$B228,Havbrug!$B$3:$B$6,'Direkte input'!$A228)</f>
        <v>27080</v>
      </c>
    </row>
    <row r="229" spans="1:9" hidden="1" x14ac:dyDescent="0.25">
      <c r="A229" t="s">
        <v>24</v>
      </c>
      <c r="B229" t="s">
        <v>101</v>
      </c>
      <c r="F229" t="str">
        <f>CONCATENATE(B229,"farmareal")</f>
        <v>Tangfarmareal</v>
      </c>
      <c r="G229" s="107">
        <f>SUMIFS(Havbrug!C$3:C$6,Havbrug!$A$3:$A$6,'Direkte input'!$B229,Havbrug!$B$3:$B$6,'Direkte input'!$A229)</f>
        <v>17</v>
      </c>
      <c r="H229" s="107">
        <f>SUMIFS(Havbrug!D$3:D$6,Havbrug!$A$3:$A$6,'Direkte input'!$B229,Havbrug!$B$3:$B$6,'Direkte input'!$A229)</f>
        <v>600</v>
      </c>
      <c r="I229" s="107">
        <f>SUMIFS(Havbrug!E$3:E$6,Havbrug!$A$3:$A$6,'Direkte input'!$B229,Havbrug!$B$3:$B$6,'Direkte input'!$A229)</f>
        <v>600</v>
      </c>
    </row>
    <row r="230" spans="1:9" hidden="1" x14ac:dyDescent="0.25">
      <c r="A230" t="s">
        <v>25</v>
      </c>
      <c r="B230" t="s">
        <v>101</v>
      </c>
      <c r="F230" t="str">
        <f>CONCATENATE(B230,"farmareal")</f>
        <v>Tangfarmareal</v>
      </c>
      <c r="G230" s="107">
        <f>SUMIFS(Havbrug!C$3:C$6,Havbrug!$A$3:$A$6,'Direkte input'!$B230,Havbrug!$B$3:$B$6,'Direkte input'!$A230)</f>
        <v>0</v>
      </c>
      <c r="H230" s="107">
        <f>SUMIFS(Havbrug!D$3:D$6,Havbrug!$A$3:$A$6,'Direkte input'!$B230,Havbrug!$B$3:$B$6,'Direkte input'!$A230)</f>
        <v>200</v>
      </c>
      <c r="I230" s="107">
        <f>SUMIFS(Havbrug!E$3:E$6,Havbrug!$A$3:$A$6,'Direkte input'!$B230,Havbrug!$B$3:$B$6,'Direkte input'!$A230)</f>
        <v>200</v>
      </c>
    </row>
  </sheetData>
  <autoFilter ref="A2:I230" xr:uid="{E65CCAA6-B7D2-4926-A470-3639DE0D1070}">
    <filterColumn colId="5">
      <filters>
        <filter val="Svin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workbookViewId="0">
      <selection activeCell="E55" sqref="E13:E55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180</v>
      </c>
      <c r="B1" t="s">
        <v>65</v>
      </c>
      <c r="C1" t="s">
        <v>131</v>
      </c>
      <c r="D1" t="s">
        <v>59</v>
      </c>
      <c r="E1" t="s">
        <v>161</v>
      </c>
      <c r="F1" t="s">
        <v>339</v>
      </c>
      <c r="G1" t="s">
        <v>235</v>
      </c>
      <c r="I1" s="158" t="s">
        <v>197</v>
      </c>
      <c r="J1" s="158"/>
      <c r="K1" s="158"/>
      <c r="L1" s="158"/>
      <c r="M1" s="158"/>
    </row>
    <row r="2" spans="1:13" hidden="1" x14ac:dyDescent="0.25">
      <c r="A2" t="s">
        <v>130</v>
      </c>
      <c r="B2" t="s">
        <v>24</v>
      </c>
      <c r="C2" s="12" t="str">
        <f>Adfærd!A18</f>
        <v>Korn</v>
      </c>
      <c r="D2">
        <f t="shared" ref="D2:D15" si="0">År1</f>
        <v>2019</v>
      </c>
      <c r="E2" s="76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130</v>
      </c>
      <c r="B3" t="s">
        <v>24</v>
      </c>
      <c r="C3" s="12" t="str">
        <f>Adfærd!A19</f>
        <v>Grøntsager</v>
      </c>
      <c r="D3">
        <f t="shared" si="0"/>
        <v>2019</v>
      </c>
      <c r="E3" s="76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130</v>
      </c>
      <c r="B4" t="s">
        <v>24</v>
      </c>
      <c r="C4" s="12" t="str">
        <f>Adfærd!A20</f>
        <v>Kartofler</v>
      </c>
      <c r="D4">
        <f t="shared" si="0"/>
        <v>2019</v>
      </c>
      <c r="E4" s="76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130</v>
      </c>
      <c r="B5" t="s">
        <v>24</v>
      </c>
      <c r="C5" s="12" t="str">
        <f>Adfærd!A21</f>
        <v>Svinekød</v>
      </c>
      <c r="D5">
        <f t="shared" si="0"/>
        <v>2019</v>
      </c>
      <c r="E5" s="76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130</v>
      </c>
      <c r="B6" t="s">
        <v>24</v>
      </c>
      <c r="C6" s="12" t="str">
        <f>Adfærd!A22</f>
        <v>Oksekød</v>
      </c>
      <c r="D6">
        <f t="shared" si="0"/>
        <v>2019</v>
      </c>
      <c r="E6" s="76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130</v>
      </c>
      <c r="B7" t="s">
        <v>24</v>
      </c>
      <c r="C7" s="12" t="str">
        <f>Adfærd!A23</f>
        <v>Bælgsæd</v>
      </c>
      <c r="D7">
        <f t="shared" si="0"/>
        <v>2019</v>
      </c>
      <c r="E7" s="76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130</v>
      </c>
      <c r="B8" t="s">
        <v>24</v>
      </c>
      <c r="C8" s="12" t="str">
        <f>Adfærd!A24</f>
        <v>Muslinger</v>
      </c>
      <c r="D8">
        <f t="shared" si="0"/>
        <v>2019</v>
      </c>
      <c r="E8" s="76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130</v>
      </c>
      <c r="B9" t="s">
        <v>24</v>
      </c>
      <c r="C9" s="12" t="str">
        <f>Adfærd!A25</f>
        <v>Tang</v>
      </c>
      <c r="D9">
        <f t="shared" si="0"/>
        <v>2019</v>
      </c>
      <c r="E9" s="76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130</v>
      </c>
      <c r="B10" t="s">
        <v>24</v>
      </c>
      <c r="C10" s="12" t="str">
        <f>Adfærd!A26</f>
        <v>Kunstigt kød</v>
      </c>
      <c r="D10">
        <f t="shared" si="0"/>
        <v>2019</v>
      </c>
      <c r="E10" s="76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130</v>
      </c>
      <c r="B11" t="s">
        <v>24</v>
      </c>
      <c r="C11" s="12" t="str">
        <f>Adfærd!A27</f>
        <v>Mejeriprodukter</v>
      </c>
      <c r="D11">
        <f t="shared" si="0"/>
        <v>2019</v>
      </c>
      <c r="E11" s="76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130</v>
      </c>
      <c r="B12" t="s">
        <v>24</v>
      </c>
      <c r="C12" s="12" t="str">
        <f>Adfærd!A28</f>
        <v>Fjerkrækød</v>
      </c>
      <c r="D12">
        <f t="shared" si="0"/>
        <v>2019</v>
      </c>
      <c r="E12" s="76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130</v>
      </c>
      <c r="B13" t="s">
        <v>24</v>
      </c>
      <c r="C13" s="12" t="str">
        <f>Adfærd!A29</f>
        <v>Æg</v>
      </c>
      <c r="D13">
        <f t="shared" si="0"/>
        <v>2019</v>
      </c>
      <c r="E13" s="76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130</v>
      </c>
      <c r="B14" t="s">
        <v>24</v>
      </c>
      <c r="C14" s="12" t="str">
        <f>Adfærd!A30</f>
        <v>Frugt</v>
      </c>
      <c r="D14">
        <f t="shared" si="0"/>
        <v>2019</v>
      </c>
      <c r="E14" s="76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130</v>
      </c>
      <c r="B15" t="s">
        <v>24</v>
      </c>
      <c r="C15" s="12" t="str">
        <f>Adfærd!A31</f>
        <v>Fisk</v>
      </c>
      <c r="D15">
        <f t="shared" si="0"/>
        <v>2019</v>
      </c>
      <c r="E15" s="76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130</v>
      </c>
      <c r="B16" t="s">
        <v>24</v>
      </c>
      <c r="C16" s="12" t="str">
        <f>Adfærd!A18</f>
        <v>Korn</v>
      </c>
      <c r="D16">
        <f t="shared" ref="D16:D29" si="1">År2</f>
        <v>2030</v>
      </c>
      <c r="E16" s="76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130</v>
      </c>
      <c r="B17" t="s">
        <v>24</v>
      </c>
      <c r="C17" s="12" t="str">
        <f>Adfærd!A19</f>
        <v>Grøntsager</v>
      </c>
      <c r="D17">
        <f t="shared" si="1"/>
        <v>2030</v>
      </c>
      <c r="E17" s="76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130</v>
      </c>
      <c r="B18" t="s">
        <v>24</v>
      </c>
      <c r="C18" s="12" t="str">
        <f>Adfærd!A20</f>
        <v>Kartofler</v>
      </c>
      <c r="D18">
        <f t="shared" si="1"/>
        <v>2030</v>
      </c>
      <c r="E18" s="76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130</v>
      </c>
      <c r="B19" t="s">
        <v>24</v>
      </c>
      <c r="C19" s="12" t="str">
        <f>Adfærd!A21</f>
        <v>Svinekød</v>
      </c>
      <c r="D19">
        <f t="shared" si="1"/>
        <v>2030</v>
      </c>
      <c r="E19" s="76">
        <f>VLOOKUP(C19,Adfærd!$A$18:$D$31,MATCH(D19,Adfærd!$A$17:$D$17,0),FALSE)*365.25*VLOOKUP(B19,[1]Befolkningstal!$A$4:$D$6,MATCH(D19,[1]Befolkningstal!$A$3:$D$3,0),FALSE)/1000000/(1-Adfærd!B$12)</f>
        <v>60937.772024340171</v>
      </c>
    </row>
    <row r="20" spans="1:5" hidden="1" x14ac:dyDescent="0.25">
      <c r="A20" t="s">
        <v>130</v>
      </c>
      <c r="B20" t="s">
        <v>24</v>
      </c>
      <c r="C20" s="12" t="str">
        <f>Adfærd!A22</f>
        <v>Oksekød</v>
      </c>
      <c r="D20">
        <f t="shared" si="1"/>
        <v>2030</v>
      </c>
      <c r="E20" s="76">
        <f>VLOOKUP(C20,Adfærd!$A$18:$D$31,MATCH(D20,Adfærd!$A$17:$D$17,0),FALSE)*365.25*VLOOKUP(B20,[1]Befolkningstal!$A$4:$D$6,MATCH(D20,[1]Befolkningstal!$A$3:$D$3,0),FALSE)/1000000/(1-Adfærd!B$12)</f>
        <v>30014.126519451132</v>
      </c>
    </row>
    <row r="21" spans="1:5" hidden="1" x14ac:dyDescent="0.25">
      <c r="A21" t="s">
        <v>130</v>
      </c>
      <c r="B21" t="s">
        <v>24</v>
      </c>
      <c r="C21" s="12" t="str">
        <f>Adfærd!A23</f>
        <v>Bælgsæd</v>
      </c>
      <c r="D21">
        <f t="shared" si="1"/>
        <v>2030</v>
      </c>
      <c r="E21" s="76">
        <f>VLOOKUP(C21,Adfærd!$A$18:$D$31,MATCH(D21,Adfærd!$A$17:$D$17,0),FALSE)*365.25*VLOOKUP(B21,[1]Befolkningstal!$A$4:$D$6,MATCH(D21,[1]Befolkningstal!$A$3:$D$3,0),FALSE)/1000000/(1-Adfærd!B$12)</f>
        <v>108599.28184333291</v>
      </c>
    </row>
    <row r="22" spans="1:5" hidden="1" x14ac:dyDescent="0.25">
      <c r="A22" t="s">
        <v>130</v>
      </c>
      <c r="B22" t="s">
        <v>24</v>
      </c>
      <c r="C22" s="12" t="str">
        <f>Adfærd!A24</f>
        <v>Muslinger</v>
      </c>
      <c r="D22">
        <f t="shared" si="1"/>
        <v>2030</v>
      </c>
      <c r="E22" s="76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130</v>
      </c>
      <c r="B23" t="s">
        <v>24</v>
      </c>
      <c r="C23" s="12" t="str">
        <f>Adfærd!A25</f>
        <v>Tang</v>
      </c>
      <c r="D23">
        <f t="shared" si="1"/>
        <v>2030</v>
      </c>
      <c r="E23" s="76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130</v>
      </c>
      <c r="B24" t="s">
        <v>24</v>
      </c>
      <c r="C24" s="12" t="str">
        <f>Adfærd!A26</f>
        <v>Kunstigt kød</v>
      </c>
      <c r="D24">
        <f t="shared" si="1"/>
        <v>2030</v>
      </c>
      <c r="E24" s="76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130</v>
      </c>
      <c r="B25" t="s">
        <v>24</v>
      </c>
      <c r="C25" s="12" t="str">
        <f>Adfærd!A27</f>
        <v>Mejeriprodukter</v>
      </c>
      <c r="D25">
        <f t="shared" si="1"/>
        <v>2030</v>
      </c>
      <c r="E25" s="76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130</v>
      </c>
      <c r="B26" t="s">
        <v>24</v>
      </c>
      <c r="C26" s="12" t="str">
        <f>Adfærd!A28</f>
        <v>Fjerkrækød</v>
      </c>
      <c r="D26">
        <f t="shared" si="1"/>
        <v>2030</v>
      </c>
      <c r="E26" s="76">
        <f>VLOOKUP(C26,Adfærd!$A$18:$D$31,MATCH(D26,Adfærd!$A$17:$D$17,0),FALSE)*365.25*VLOOKUP(B26,[1]Befolkningstal!$A$4:$D$6,MATCH(D26,[1]Befolkningstal!$A$3:$D$3,0),FALSE)/1000000/(1-Adfærd!B$12)</f>
        <v>17647.383299541594</v>
      </c>
    </row>
    <row r="27" spans="1:5" hidden="1" x14ac:dyDescent="0.25">
      <c r="A27" t="s">
        <v>130</v>
      </c>
      <c r="B27" t="s">
        <v>24</v>
      </c>
      <c r="C27" s="12" t="str">
        <f>Adfærd!A29</f>
        <v>Æg</v>
      </c>
      <c r="D27">
        <f t="shared" si="1"/>
        <v>2030</v>
      </c>
      <c r="E27" s="76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130</v>
      </c>
      <c r="B28" t="s">
        <v>24</v>
      </c>
      <c r="C28" s="12" t="str">
        <f>Adfærd!A30</f>
        <v>Frugt</v>
      </c>
      <c r="D28">
        <f t="shared" si="1"/>
        <v>2030</v>
      </c>
      <c r="E28" s="76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130</v>
      </c>
      <c r="B29" t="s">
        <v>24</v>
      </c>
      <c r="C29" s="12" t="str">
        <f>Adfærd!A31</f>
        <v>Fisk</v>
      </c>
      <c r="D29">
        <f t="shared" si="1"/>
        <v>2030</v>
      </c>
      <c r="E29" s="76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130</v>
      </c>
      <c r="B30" t="s">
        <v>24</v>
      </c>
      <c r="C30" s="12" t="str">
        <f>Adfærd!A18</f>
        <v>Korn</v>
      </c>
      <c r="D30">
        <f t="shared" ref="D30:D43" si="2">År3</f>
        <v>2050</v>
      </c>
      <c r="E30" s="76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130</v>
      </c>
      <c r="B31" t="s">
        <v>24</v>
      </c>
      <c r="C31" s="12" t="str">
        <f>Adfærd!A19</f>
        <v>Grøntsager</v>
      </c>
      <c r="D31">
        <f t="shared" si="2"/>
        <v>2050</v>
      </c>
      <c r="E31" s="76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130</v>
      </c>
      <c r="B32" t="s">
        <v>24</v>
      </c>
      <c r="C32" s="12" t="str">
        <f>Adfærd!A20</f>
        <v>Kartofler</v>
      </c>
      <c r="D32">
        <f t="shared" si="2"/>
        <v>2050</v>
      </c>
      <c r="E32" s="76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130</v>
      </c>
      <c r="B33" t="s">
        <v>24</v>
      </c>
      <c r="C33" s="12" t="str">
        <f>Adfærd!A21</f>
        <v>Svinekød</v>
      </c>
      <c r="D33">
        <f t="shared" si="2"/>
        <v>2050</v>
      </c>
      <c r="E33" s="76">
        <f>VLOOKUP(C33,Adfærd!$A$18:$D$31,MATCH(D33,Adfærd!$A$17:$D$17,0),FALSE)*365.25*VLOOKUP(B33,[1]Befolkningstal!$A$4:$D$6,MATCH(D33,[1]Befolkningstal!$A$3:$D$3,0),FALSE)/1000000/(1-Adfærd!B$12)</f>
        <v>0</v>
      </c>
    </row>
    <row r="34" spans="1:5" hidden="1" x14ac:dyDescent="0.25">
      <c r="A34" t="s">
        <v>130</v>
      </c>
      <c r="B34" t="s">
        <v>24</v>
      </c>
      <c r="C34" s="12" t="str">
        <f>Adfærd!A22</f>
        <v>Oksekød</v>
      </c>
      <c r="D34">
        <f t="shared" si="2"/>
        <v>2050</v>
      </c>
      <c r="E34" s="76">
        <f>VLOOKUP(C34,Adfærd!$A$18:$D$31,MATCH(D34,Adfærd!$A$17:$D$17,0),FALSE)*365.25*VLOOKUP(B34,[1]Befolkningstal!$A$4:$D$6,MATCH(D34,[1]Befolkningstal!$A$3:$D$3,0),FALSE)/1000000/(1-Adfærd!B$12)</f>
        <v>0</v>
      </c>
    </row>
    <row r="35" spans="1:5" hidden="1" x14ac:dyDescent="0.25">
      <c r="A35" t="s">
        <v>130</v>
      </c>
      <c r="B35" t="s">
        <v>24</v>
      </c>
      <c r="C35" s="12" t="str">
        <f>Adfærd!A23</f>
        <v>Bælgsæd</v>
      </c>
      <c r="D35">
        <f t="shared" si="2"/>
        <v>2050</v>
      </c>
      <c r="E35" s="76">
        <f>VLOOKUP(C35,Adfærd!$A$18:$D$31,MATCH(D35,Adfærd!$A$17:$D$17,0),FALSE)*365.25*VLOOKUP(B35,[1]Befolkningstal!$A$4:$D$6,MATCH(D35,[1]Befolkningstal!$A$3:$D$3,0),FALSE)/1000000/(1-Adfærd!B$12)</f>
        <v>225666.45924296544</v>
      </c>
    </row>
    <row r="36" spans="1:5" hidden="1" x14ac:dyDescent="0.25">
      <c r="A36" t="s">
        <v>130</v>
      </c>
      <c r="B36" t="s">
        <v>24</v>
      </c>
      <c r="C36" s="12" t="str">
        <f>Adfærd!A24</f>
        <v>Muslinger</v>
      </c>
      <c r="D36">
        <f t="shared" si="2"/>
        <v>2050</v>
      </c>
      <c r="E36" s="76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130</v>
      </c>
      <c r="B37" t="s">
        <v>24</v>
      </c>
      <c r="C37" s="12" t="str">
        <f>Adfærd!A25</f>
        <v>Tang</v>
      </c>
      <c r="D37">
        <f t="shared" si="2"/>
        <v>2050</v>
      </c>
      <c r="E37" s="76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130</v>
      </c>
      <c r="B38" t="s">
        <v>24</v>
      </c>
      <c r="C38" s="12" t="str">
        <f>Adfærd!A26</f>
        <v>Kunstigt kød</v>
      </c>
      <c r="D38">
        <f t="shared" si="2"/>
        <v>2050</v>
      </c>
      <c r="E38" s="76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130</v>
      </c>
      <c r="B39" t="s">
        <v>24</v>
      </c>
      <c r="C39" s="12" t="str">
        <f>Adfærd!A27</f>
        <v>Mejeriprodukter</v>
      </c>
      <c r="D39">
        <f t="shared" si="2"/>
        <v>2050</v>
      </c>
      <c r="E39" s="76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130</v>
      </c>
      <c r="B40" t="s">
        <v>24</v>
      </c>
      <c r="C40" s="12" t="str">
        <f>Adfærd!A28</f>
        <v>Fjerkrækød</v>
      </c>
      <c r="D40">
        <f t="shared" si="2"/>
        <v>2050</v>
      </c>
      <c r="E40" s="76">
        <f>VLOOKUP(C40,Adfærd!$A$18:$D$31,MATCH(D40,Adfærd!$A$17:$D$17,0),FALSE)*365.25*VLOOKUP(B40,[1]Befolkningstal!$A$4:$D$6,MATCH(D40,[1]Befolkningstal!$A$3:$D$3,0),FALSE)/1000000/(1-Adfærd!B$12)</f>
        <v>0</v>
      </c>
    </row>
    <row r="41" spans="1:5" hidden="1" x14ac:dyDescent="0.25">
      <c r="A41" t="s">
        <v>130</v>
      </c>
      <c r="B41" t="s">
        <v>24</v>
      </c>
      <c r="C41" s="12" t="str">
        <f>Adfærd!A29</f>
        <v>Æg</v>
      </c>
      <c r="D41">
        <f t="shared" si="2"/>
        <v>2050</v>
      </c>
      <c r="E41" s="76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130</v>
      </c>
      <c r="B42" t="s">
        <v>24</v>
      </c>
      <c r="C42" s="12" t="str">
        <f>Adfærd!A30</f>
        <v>Frugt</v>
      </c>
      <c r="D42">
        <f t="shared" si="2"/>
        <v>2050</v>
      </c>
      <c r="E42" s="76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130</v>
      </c>
      <c r="B43" t="s">
        <v>24</v>
      </c>
      <c r="C43" s="12" t="str">
        <f>Adfærd!A31</f>
        <v>Fisk</v>
      </c>
      <c r="D43">
        <f t="shared" si="2"/>
        <v>2050</v>
      </c>
      <c r="E43" s="76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130</v>
      </c>
      <c r="B44" t="s">
        <v>25</v>
      </c>
      <c r="C44" s="12" t="str">
        <f>Adfærd!A18</f>
        <v>Korn</v>
      </c>
      <c r="D44">
        <f t="shared" ref="D44:D57" si="3">År1</f>
        <v>2019</v>
      </c>
      <c r="E44" s="76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130</v>
      </c>
      <c r="B45" t="s">
        <v>25</v>
      </c>
      <c r="C45" s="12" t="str">
        <f>Adfærd!A19</f>
        <v>Grøntsager</v>
      </c>
      <c r="D45">
        <f t="shared" si="3"/>
        <v>2019</v>
      </c>
      <c r="E45" s="76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130</v>
      </c>
      <c r="B46" t="s">
        <v>25</v>
      </c>
      <c r="C46" s="12" t="str">
        <f>Adfærd!A20</f>
        <v>Kartofler</v>
      </c>
      <c r="D46">
        <f t="shared" si="3"/>
        <v>2019</v>
      </c>
      <c r="E46" s="76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130</v>
      </c>
      <c r="B47" t="s">
        <v>25</v>
      </c>
      <c r="C47" s="12" t="str">
        <f>Adfærd!A21</f>
        <v>Svinekød</v>
      </c>
      <c r="D47">
        <f t="shared" si="3"/>
        <v>2019</v>
      </c>
      <c r="E47" s="76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130</v>
      </c>
      <c r="B48" t="s">
        <v>25</v>
      </c>
      <c r="C48" s="12" t="str">
        <f>Adfærd!A22</f>
        <v>Oksekød</v>
      </c>
      <c r="D48">
        <f t="shared" si="3"/>
        <v>2019</v>
      </c>
      <c r="E48" s="76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130</v>
      </c>
      <c r="B49" t="s">
        <v>25</v>
      </c>
      <c r="C49" s="12" t="str">
        <f>Adfærd!A23</f>
        <v>Bælgsæd</v>
      </c>
      <c r="D49">
        <f t="shared" si="3"/>
        <v>2019</v>
      </c>
      <c r="E49" s="76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130</v>
      </c>
      <c r="B50" t="s">
        <v>25</v>
      </c>
      <c r="C50" s="12" t="str">
        <f>Adfærd!A24</f>
        <v>Muslinger</v>
      </c>
      <c r="D50">
        <f t="shared" si="3"/>
        <v>2019</v>
      </c>
      <c r="E50" s="76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130</v>
      </c>
      <c r="B51" t="s">
        <v>25</v>
      </c>
      <c r="C51" s="12" t="str">
        <f>Adfærd!A25</f>
        <v>Tang</v>
      </c>
      <c r="D51">
        <f t="shared" si="3"/>
        <v>2019</v>
      </c>
      <c r="E51" s="76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130</v>
      </c>
      <c r="B52" t="s">
        <v>25</v>
      </c>
      <c r="C52" s="12" t="str">
        <f>Adfærd!A26</f>
        <v>Kunstigt kød</v>
      </c>
      <c r="D52">
        <f t="shared" si="3"/>
        <v>2019</v>
      </c>
      <c r="E52" s="76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130</v>
      </c>
      <c r="B53" t="s">
        <v>25</v>
      </c>
      <c r="C53" s="12" t="str">
        <f>Adfærd!A27</f>
        <v>Mejeriprodukter</v>
      </c>
      <c r="D53">
        <f t="shared" si="3"/>
        <v>2019</v>
      </c>
      <c r="E53" s="76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130</v>
      </c>
      <c r="B54" t="s">
        <v>25</v>
      </c>
      <c r="C54" s="12" t="str">
        <f>Adfærd!A28</f>
        <v>Fjerkrækød</v>
      </c>
      <c r="D54">
        <f t="shared" si="3"/>
        <v>2019</v>
      </c>
      <c r="E54" s="76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x14ac:dyDescent="0.25">
      <c r="A55" t="s">
        <v>130</v>
      </c>
      <c r="B55" t="s">
        <v>25</v>
      </c>
      <c r="C55" s="12" t="str">
        <f>Adfærd!A29</f>
        <v>Æg</v>
      </c>
      <c r="D55">
        <f t="shared" si="3"/>
        <v>2019</v>
      </c>
      <c r="E55" s="76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130</v>
      </c>
      <c r="B56" t="s">
        <v>25</v>
      </c>
      <c r="C56" s="12" t="str">
        <f>Adfærd!A30</f>
        <v>Frugt</v>
      </c>
      <c r="D56">
        <f t="shared" si="3"/>
        <v>2019</v>
      </c>
      <c r="E56" s="76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130</v>
      </c>
      <c r="B57" t="s">
        <v>25</v>
      </c>
      <c r="C57" s="12" t="str">
        <f>Adfærd!A31</f>
        <v>Fisk</v>
      </c>
      <c r="D57">
        <f t="shared" si="3"/>
        <v>2019</v>
      </c>
      <c r="E57" s="76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130</v>
      </c>
      <c r="B58" t="s">
        <v>25</v>
      </c>
      <c r="C58" s="12" t="str">
        <f>Adfærd!A18</f>
        <v>Korn</v>
      </c>
      <c r="D58">
        <f t="shared" ref="D58:D71" si="4">År2</f>
        <v>2030</v>
      </c>
      <c r="E58" s="76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130</v>
      </c>
      <c r="B59" t="s">
        <v>25</v>
      </c>
      <c r="C59" s="12" t="str">
        <f>Adfærd!A19</f>
        <v>Grøntsager</v>
      </c>
      <c r="D59">
        <f t="shared" si="4"/>
        <v>2030</v>
      </c>
      <c r="E59" s="76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130</v>
      </c>
      <c r="B60" t="s">
        <v>25</v>
      </c>
      <c r="C60" s="12" t="str">
        <f>Adfærd!A20</f>
        <v>Kartofler</v>
      </c>
      <c r="D60">
        <f t="shared" si="4"/>
        <v>2030</v>
      </c>
      <c r="E60" s="76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130</v>
      </c>
      <c r="B61" t="s">
        <v>25</v>
      </c>
      <c r="C61" s="12" t="str">
        <f>Adfærd!A21</f>
        <v>Svinekød</v>
      </c>
      <c r="D61">
        <f t="shared" si="4"/>
        <v>2030</v>
      </c>
      <c r="E61" s="76">
        <f>VLOOKUP(C61,Adfærd!$A$18:$D$31,MATCH(D61,Adfærd!$A$17:$D$17,0),FALSE)*365.25*VLOOKUP(B61,[1]Befolkningstal!$A$4:$D$6,MATCH(D61,[1]Befolkningstal!$A$3:$D$3,0),FALSE)/1000000/(1-Adfærd!B$12)</f>
        <v>52763.219924773963</v>
      </c>
    </row>
    <row r="62" spans="1:5" hidden="1" x14ac:dyDescent="0.25">
      <c r="A62" t="s">
        <v>130</v>
      </c>
      <c r="B62" t="s">
        <v>25</v>
      </c>
      <c r="C62" s="12" t="str">
        <f>Adfærd!A22</f>
        <v>Oksekød</v>
      </c>
      <c r="D62">
        <f t="shared" si="4"/>
        <v>2030</v>
      </c>
      <c r="E62" s="76">
        <f>VLOOKUP(C62,Adfærd!$A$18:$D$31,MATCH(D62,Adfærd!$A$17:$D$17,0),FALSE)*365.25*VLOOKUP(B62,[1]Befolkningstal!$A$4:$D$6,MATCH(D62,[1]Befolkningstal!$A$3:$D$3,0),FALSE)/1000000/(1-Adfærd!B$12)</f>
        <v>25987.85458981404</v>
      </c>
    </row>
    <row r="63" spans="1:5" hidden="1" x14ac:dyDescent="0.25">
      <c r="A63" t="s">
        <v>130</v>
      </c>
      <c r="B63" t="s">
        <v>25</v>
      </c>
      <c r="C63" s="12" t="str">
        <f>Adfærd!A23</f>
        <v>Bælgsæd</v>
      </c>
      <c r="D63">
        <f t="shared" si="4"/>
        <v>2030</v>
      </c>
      <c r="E63" s="76">
        <f>VLOOKUP(C63,Adfærd!$A$18:$D$31,MATCH(D63,Adfærd!$A$17:$D$17,0),FALSE)*365.25*VLOOKUP(B63,[1]Befolkningstal!$A$4:$D$6,MATCH(D63,[1]Befolkningstal!$A$3:$D$3,0),FALSE)/1000000/(1-Adfærd!B$12)</f>
        <v>94031.1337487618</v>
      </c>
    </row>
    <row r="64" spans="1:5" hidden="1" x14ac:dyDescent="0.25">
      <c r="A64" t="s">
        <v>130</v>
      </c>
      <c r="B64" t="s">
        <v>25</v>
      </c>
      <c r="C64" s="12" t="str">
        <f>Adfærd!A24</f>
        <v>Muslinger</v>
      </c>
      <c r="D64">
        <f t="shared" si="4"/>
        <v>2030</v>
      </c>
      <c r="E64" s="76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130</v>
      </c>
      <c r="B65" t="s">
        <v>25</v>
      </c>
      <c r="C65" s="12" t="str">
        <f>Adfærd!A25</f>
        <v>Tang</v>
      </c>
      <c r="D65">
        <f t="shared" si="4"/>
        <v>2030</v>
      </c>
      <c r="E65" s="76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130</v>
      </c>
      <c r="B66" t="s">
        <v>25</v>
      </c>
      <c r="C66" s="12" t="str">
        <f>Adfærd!A26</f>
        <v>Kunstigt kød</v>
      </c>
      <c r="D66">
        <f t="shared" si="4"/>
        <v>2030</v>
      </c>
      <c r="E66" s="76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130</v>
      </c>
      <c r="B67" t="s">
        <v>25</v>
      </c>
      <c r="C67" s="12" t="str">
        <f>Adfærd!A27</f>
        <v>Mejeriprodukter</v>
      </c>
      <c r="D67">
        <f t="shared" si="4"/>
        <v>2030</v>
      </c>
      <c r="E67" s="76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130</v>
      </c>
      <c r="B68" t="s">
        <v>25</v>
      </c>
      <c r="C68" s="12" t="str">
        <f>Adfærd!A28</f>
        <v>Fjerkrækød</v>
      </c>
      <c r="D68">
        <f t="shared" si="4"/>
        <v>2030</v>
      </c>
      <c r="E68" s="76">
        <f>VLOOKUP(C68,Adfærd!$A$18:$D$31,MATCH(D68,Adfærd!$A$17:$D$17,0),FALSE)*365.25*VLOOKUP(B68,[1]Befolkningstal!$A$4:$D$6,MATCH(D68,[1]Befolkningstal!$A$3:$D$3,0),FALSE)/1000000/(1-Adfærd!B$12)</f>
        <v>15280.059234173792</v>
      </c>
    </row>
    <row r="69" spans="1:5" hidden="1" x14ac:dyDescent="0.25">
      <c r="A69" t="s">
        <v>130</v>
      </c>
      <c r="B69" t="s">
        <v>25</v>
      </c>
      <c r="C69" s="12" t="str">
        <f>Adfærd!A29</f>
        <v>Æg</v>
      </c>
      <c r="D69">
        <f t="shared" si="4"/>
        <v>2030</v>
      </c>
      <c r="E69" s="76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130</v>
      </c>
      <c r="B70" t="s">
        <v>25</v>
      </c>
      <c r="C70" s="12" t="str">
        <f>Adfærd!A30</f>
        <v>Frugt</v>
      </c>
      <c r="D70">
        <f t="shared" si="4"/>
        <v>2030</v>
      </c>
      <c r="E70" s="76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130</v>
      </c>
      <c r="B71" t="s">
        <v>25</v>
      </c>
      <c r="C71" s="12" t="str">
        <f>Adfærd!A31</f>
        <v>Fisk</v>
      </c>
      <c r="D71">
        <f t="shared" si="4"/>
        <v>2030</v>
      </c>
      <c r="E71" s="76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130</v>
      </c>
      <c r="B72" t="s">
        <v>25</v>
      </c>
      <c r="C72" s="12" t="str">
        <f>Adfærd!A18</f>
        <v>Korn</v>
      </c>
      <c r="D72">
        <f t="shared" ref="D72:D85" si="5">År3</f>
        <v>2050</v>
      </c>
      <c r="E72" s="76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130</v>
      </c>
      <c r="B73" t="s">
        <v>25</v>
      </c>
      <c r="C73" s="12" t="str">
        <f>Adfærd!A19</f>
        <v>Grøntsager</v>
      </c>
      <c r="D73">
        <f t="shared" si="5"/>
        <v>2050</v>
      </c>
      <c r="E73" s="76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130</v>
      </c>
      <c r="B74" t="s">
        <v>25</v>
      </c>
      <c r="C74" s="12" t="str">
        <f>Adfærd!A20</f>
        <v>Kartofler</v>
      </c>
      <c r="D74">
        <f t="shared" si="5"/>
        <v>2050</v>
      </c>
      <c r="E74" s="76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130</v>
      </c>
      <c r="B75" t="s">
        <v>25</v>
      </c>
      <c r="C75" s="12" t="str">
        <f>Adfærd!A21</f>
        <v>Svinekød</v>
      </c>
      <c r="D75">
        <f t="shared" si="5"/>
        <v>2050</v>
      </c>
      <c r="E75" s="76">
        <f>VLOOKUP(C75,Adfærd!$A$18:$D$31,MATCH(D75,Adfærd!$A$17:$D$17,0),FALSE)*365.25*VLOOKUP(B75,[1]Befolkningstal!$A$4:$D$6,MATCH(D75,[1]Befolkningstal!$A$3:$D$3,0),FALSE)/1000000/(1-Adfærd!B$12)</f>
        <v>0</v>
      </c>
    </row>
    <row r="76" spans="1:5" hidden="1" x14ac:dyDescent="0.25">
      <c r="A76" t="s">
        <v>130</v>
      </c>
      <c r="B76" t="s">
        <v>25</v>
      </c>
      <c r="C76" s="12" t="str">
        <f>Adfærd!A22</f>
        <v>Oksekød</v>
      </c>
      <c r="D76">
        <f t="shared" si="5"/>
        <v>2050</v>
      </c>
      <c r="E76" s="76">
        <f>VLOOKUP(C76,Adfærd!$A$18:$D$31,MATCH(D76,Adfærd!$A$17:$D$17,0),FALSE)*365.25*VLOOKUP(B76,[1]Befolkningstal!$A$4:$D$6,MATCH(D76,[1]Befolkningstal!$A$3:$D$3,0),FALSE)/1000000/(1-Adfærd!B$12)</f>
        <v>0</v>
      </c>
    </row>
    <row r="77" spans="1:5" hidden="1" x14ac:dyDescent="0.25">
      <c r="A77" t="s">
        <v>130</v>
      </c>
      <c r="B77" t="s">
        <v>25</v>
      </c>
      <c r="C77" s="12" t="str">
        <f>Adfærd!A23</f>
        <v>Bælgsæd</v>
      </c>
      <c r="D77">
        <f t="shared" si="5"/>
        <v>2050</v>
      </c>
      <c r="E77" s="76">
        <f>VLOOKUP(C77,Adfærd!$A$18:$D$31,MATCH(D77,Adfærd!$A$17:$D$17,0),FALSE)*365.25*VLOOKUP(B77,[1]Befolkningstal!$A$4:$D$6,MATCH(D77,[1]Befolkningstal!$A$3:$D$3,0),FALSE)/1000000/(1-Adfærd!B$12)</f>
        <v>196880.01346734638</v>
      </c>
    </row>
    <row r="78" spans="1:5" hidden="1" x14ac:dyDescent="0.25">
      <c r="A78" t="s">
        <v>130</v>
      </c>
      <c r="B78" t="s">
        <v>25</v>
      </c>
      <c r="C78" s="12" t="str">
        <f>Adfærd!A24</f>
        <v>Muslinger</v>
      </c>
      <c r="D78">
        <f t="shared" si="5"/>
        <v>2050</v>
      </c>
      <c r="E78" s="76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130</v>
      </c>
      <c r="B79" t="s">
        <v>25</v>
      </c>
      <c r="C79" s="12" t="str">
        <f>Adfærd!A25</f>
        <v>Tang</v>
      </c>
      <c r="D79">
        <f t="shared" si="5"/>
        <v>2050</v>
      </c>
      <c r="E79" s="76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130</v>
      </c>
      <c r="B80" t="s">
        <v>25</v>
      </c>
      <c r="C80" s="12" t="str">
        <f>Adfærd!A26</f>
        <v>Kunstigt kød</v>
      </c>
      <c r="D80">
        <f t="shared" si="5"/>
        <v>2050</v>
      </c>
      <c r="E80" s="76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130</v>
      </c>
      <c r="B81" t="s">
        <v>25</v>
      </c>
      <c r="C81" s="12" t="str">
        <f>Adfærd!A27</f>
        <v>Mejeriprodukter</v>
      </c>
      <c r="D81">
        <f t="shared" si="5"/>
        <v>2050</v>
      </c>
      <c r="E81" s="76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130</v>
      </c>
      <c r="B82" t="s">
        <v>25</v>
      </c>
      <c r="C82" s="12" t="str">
        <f>Adfærd!A28</f>
        <v>Fjerkrækød</v>
      </c>
      <c r="D82">
        <f t="shared" si="5"/>
        <v>2050</v>
      </c>
      <c r="E82" s="76">
        <f>VLOOKUP(C82,Adfærd!$A$18:$D$31,MATCH(D82,Adfærd!$A$17:$D$17,0),FALSE)*365.25*VLOOKUP(B82,[1]Befolkningstal!$A$4:$D$6,MATCH(D82,[1]Befolkningstal!$A$3:$D$3,0),FALSE)/1000000/(1-Adfærd!B$12)</f>
        <v>0</v>
      </c>
    </row>
    <row r="83" spans="1:5" hidden="1" x14ac:dyDescent="0.25">
      <c r="A83" t="s">
        <v>130</v>
      </c>
      <c r="B83" t="s">
        <v>25</v>
      </c>
      <c r="C83" s="12" t="str">
        <f>Adfærd!A29</f>
        <v>Æg</v>
      </c>
      <c r="D83">
        <f t="shared" si="5"/>
        <v>2050</v>
      </c>
      <c r="E83" s="76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130</v>
      </c>
      <c r="B84" t="s">
        <v>25</v>
      </c>
      <c r="C84" s="12" t="str">
        <f>Adfærd!A30</f>
        <v>Frugt</v>
      </c>
      <c r="D84">
        <f t="shared" si="5"/>
        <v>2050</v>
      </c>
      <c r="E84" s="76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130</v>
      </c>
      <c r="B85" t="s">
        <v>25</v>
      </c>
      <c r="C85" s="12" t="str">
        <f>Adfærd!A31</f>
        <v>Fisk</v>
      </c>
      <c r="D85">
        <f t="shared" si="5"/>
        <v>2050</v>
      </c>
      <c r="E85" s="76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112</v>
      </c>
      <c r="B86" t="s">
        <v>24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112</v>
      </c>
      <c r="B87" t="s">
        <v>24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112</v>
      </c>
      <c r="B88" t="s">
        <v>24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112</v>
      </c>
      <c r="B89" t="s">
        <v>24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112</v>
      </c>
      <c r="B90" t="s">
        <v>24</v>
      </c>
      <c r="C90" s="100" t="str">
        <f>Biogasanlæg!A18</f>
        <v>Bioaffald</v>
      </c>
      <c r="D90">
        <f t="shared" si="6"/>
        <v>2019</v>
      </c>
      <c r="E90" t="e">
        <f ca="1">IF(B90="Vestdanmark",VLOOKUP(C90,Biogasanlæg!$A$39:$E$55,MATCH(D90,Biogasanlæg!$A$38:$E$38,0),FALSE),VLOOKUP(C90,Biogasanlæg!$I$39:$M$55,MATCH(D90,Biogasanlæg!$I$38:$M$38,0),FALSE))</f>
        <v>#REF!</v>
      </c>
    </row>
    <row r="91" spans="1:5" hidden="1" x14ac:dyDescent="0.25">
      <c r="A91" t="s">
        <v>112</v>
      </c>
      <c r="B91" t="s">
        <v>24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112</v>
      </c>
      <c r="B92" t="s">
        <v>24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112</v>
      </c>
      <c r="B93" t="s">
        <v>24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112</v>
      </c>
      <c r="B94" t="s">
        <v>24</v>
      </c>
      <c r="C94" s="100" t="str">
        <f>Biogasanlæg!A20</f>
        <v>Halm</v>
      </c>
      <c r="D94">
        <f t="shared" si="6"/>
        <v>2019</v>
      </c>
      <c r="E94" s="330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112</v>
      </c>
      <c r="B95" t="s">
        <v>24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112</v>
      </c>
      <c r="B96" t="s">
        <v>24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112</v>
      </c>
      <c r="B97" t="s">
        <v>24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112</v>
      </c>
      <c r="B98" t="s">
        <v>24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112</v>
      </c>
      <c r="B99" t="s">
        <v>24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112</v>
      </c>
      <c r="B100" t="s">
        <v>24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112</v>
      </c>
      <c r="B101" t="s">
        <v>24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112</v>
      </c>
      <c r="B102" t="s">
        <v>24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112</v>
      </c>
      <c r="B103" t="s">
        <v>24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2441085.3486593938</v>
      </c>
    </row>
    <row r="104" spans="1:5" hidden="1" x14ac:dyDescent="0.25">
      <c r="A104" t="s">
        <v>112</v>
      </c>
      <c r="B104" t="s">
        <v>24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4073475.9513422842</v>
      </c>
    </row>
    <row r="105" spans="1:5" hidden="1" x14ac:dyDescent="0.25">
      <c r="A105" t="s">
        <v>112</v>
      </c>
      <c r="B105" t="s">
        <v>24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2708.0192790862607</v>
      </c>
    </row>
    <row r="106" spans="1:5" hidden="1" x14ac:dyDescent="0.25">
      <c r="A106" t="s">
        <v>112</v>
      </c>
      <c r="B106" t="s">
        <v>24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1480098.7941273053</v>
      </c>
    </row>
    <row r="107" spans="1:5" hidden="1" x14ac:dyDescent="0.25">
      <c r="A107" t="s">
        <v>112</v>
      </c>
      <c r="B107" t="s">
        <v>24</v>
      </c>
      <c r="C107" s="100" t="str">
        <f>Biogasanlæg!A18</f>
        <v>Bioaffald</v>
      </c>
      <c r="D107">
        <f t="shared" si="7"/>
        <v>2030</v>
      </c>
      <c r="E107" t="e">
        <f ca="1">IF(B107="Vestdanmark",VLOOKUP(C107,Biogasanlæg!$A$39:$E$55,MATCH(D107,Biogasanlæg!$A$38:$E$38,0),FALSE),VLOOKUP(C107,Biogasanlæg!$I$39:$M$55,MATCH(D107,Biogasanlæg!$I$38:$M$38,0),FALSE))</f>
        <v>#REF!</v>
      </c>
    </row>
    <row r="108" spans="1:5" hidden="1" x14ac:dyDescent="0.25">
      <c r="A108" t="s">
        <v>112</v>
      </c>
      <c r="B108" t="s">
        <v>24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0</v>
      </c>
    </row>
    <row r="109" spans="1:5" hidden="1" x14ac:dyDescent="0.25">
      <c r="A109" t="s">
        <v>112</v>
      </c>
      <c r="B109" t="s">
        <v>24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948506.12254502962</v>
      </c>
    </row>
    <row r="110" spans="1:5" hidden="1" x14ac:dyDescent="0.25">
      <c r="A110" t="s">
        <v>112</v>
      </c>
      <c r="B110" t="s">
        <v>24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189822.72976393916</v>
      </c>
    </row>
    <row r="111" spans="1:5" hidden="1" x14ac:dyDescent="0.25">
      <c r="A111" t="s">
        <v>112</v>
      </c>
      <c r="B111" t="s">
        <v>24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0</v>
      </c>
    </row>
    <row r="112" spans="1:5" hidden="1" x14ac:dyDescent="0.25">
      <c r="A112" t="s">
        <v>112</v>
      </c>
      <c r="B112" t="s">
        <v>24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0</v>
      </c>
    </row>
    <row r="113" spans="1:5" hidden="1" x14ac:dyDescent="0.25">
      <c r="A113" t="s">
        <v>112</v>
      </c>
      <c r="B113" t="s">
        <v>24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0</v>
      </c>
    </row>
    <row r="114" spans="1:5" hidden="1" x14ac:dyDescent="0.25">
      <c r="A114" t="s">
        <v>112</v>
      </c>
      <c r="B114" t="s">
        <v>24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0</v>
      </c>
    </row>
    <row r="115" spans="1:5" hidden="1" x14ac:dyDescent="0.25">
      <c r="A115" t="s">
        <v>112</v>
      </c>
      <c r="B115" t="s">
        <v>24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0</v>
      </c>
    </row>
    <row r="116" spans="1:5" hidden="1" x14ac:dyDescent="0.25">
      <c r="A116" t="s">
        <v>112</v>
      </c>
      <c r="B116" t="s">
        <v>24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0</v>
      </c>
    </row>
    <row r="117" spans="1:5" hidden="1" x14ac:dyDescent="0.25">
      <c r="A117" t="s">
        <v>112</v>
      </c>
      <c r="B117" t="s">
        <v>24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0</v>
      </c>
    </row>
    <row r="118" spans="1:5" hidden="1" x14ac:dyDescent="0.25">
      <c r="A118" t="s">
        <v>112</v>
      </c>
      <c r="B118" t="s">
        <v>24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112</v>
      </c>
      <c r="B119" t="s">
        <v>24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112</v>
      </c>
      <c r="B120" t="s">
        <v>24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62533.3867321281</v>
      </c>
    </row>
    <row r="121" spans="1:5" hidden="1" x14ac:dyDescent="0.25">
      <c r="A121" t="s">
        <v>112</v>
      </c>
      <c r="B121" t="s">
        <v>24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579009.4919217953</v>
      </c>
    </row>
    <row r="122" spans="1:5" hidden="1" x14ac:dyDescent="0.25">
      <c r="A122" t="s">
        <v>112</v>
      </c>
      <c r="B122" t="s">
        <v>24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712.10734765283848</v>
      </c>
    </row>
    <row r="123" spans="1:5" hidden="1" x14ac:dyDescent="0.25">
      <c r="A123" t="s">
        <v>112</v>
      </c>
      <c r="B123" t="s">
        <v>24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1520643.2255533286</v>
      </c>
    </row>
    <row r="124" spans="1:5" hidden="1" x14ac:dyDescent="0.25">
      <c r="A124" t="s">
        <v>112</v>
      </c>
      <c r="B124" t="s">
        <v>24</v>
      </c>
      <c r="C124" s="102" t="str">
        <f>Biogasanlæg!A18</f>
        <v>Bioaffald</v>
      </c>
      <c r="D124">
        <f t="shared" si="8"/>
        <v>2050</v>
      </c>
      <c r="E124" t="e">
        <f ca="1">IF(B124="Vestdanmark",VLOOKUP(C124,Biogasanlæg!$A$39:$E$55,MATCH(D124,Biogasanlæg!$A$38:$E$38,0),FALSE),VLOOKUP(C124,Biogasanlæg!$I$39:$M$55,MATCH(D124,Biogasanlæg!$I$38:$M$38,0),FALSE))</f>
        <v>#REF!</v>
      </c>
    </row>
    <row r="125" spans="1:5" hidden="1" x14ac:dyDescent="0.25">
      <c r="A125" t="s">
        <v>112</v>
      </c>
      <c r="B125" t="s">
        <v>24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0</v>
      </c>
    </row>
    <row r="126" spans="1:5" hidden="1" x14ac:dyDescent="0.25">
      <c r="A126" t="s">
        <v>112</v>
      </c>
      <c r="B126" t="s">
        <v>24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267858.6677775862</v>
      </c>
    </row>
    <row r="127" spans="1:5" hidden="1" x14ac:dyDescent="0.25">
      <c r="A127" t="s">
        <v>112</v>
      </c>
      <c r="B127" t="s">
        <v>24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75929.091905575682</v>
      </c>
    </row>
    <row r="128" spans="1:5" hidden="1" x14ac:dyDescent="0.25">
      <c r="A128" t="s">
        <v>112</v>
      </c>
      <c r="B128" t="s">
        <v>24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0</v>
      </c>
    </row>
    <row r="129" spans="1:5" hidden="1" x14ac:dyDescent="0.25">
      <c r="A129" t="s">
        <v>112</v>
      </c>
      <c r="B129" t="s">
        <v>24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0</v>
      </c>
    </row>
    <row r="130" spans="1:5" hidden="1" x14ac:dyDescent="0.25">
      <c r="A130" t="s">
        <v>112</v>
      </c>
      <c r="B130" t="s">
        <v>24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0</v>
      </c>
    </row>
    <row r="131" spans="1:5" hidden="1" x14ac:dyDescent="0.25">
      <c r="A131" t="s">
        <v>112</v>
      </c>
      <c r="B131" t="s">
        <v>24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0</v>
      </c>
    </row>
    <row r="132" spans="1:5" hidden="1" x14ac:dyDescent="0.25">
      <c r="A132" t="s">
        <v>112</v>
      </c>
      <c r="B132" t="s">
        <v>24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0</v>
      </c>
    </row>
    <row r="133" spans="1:5" hidden="1" x14ac:dyDescent="0.25">
      <c r="A133" t="s">
        <v>112</v>
      </c>
      <c r="B133" t="s">
        <v>24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0</v>
      </c>
    </row>
    <row r="134" spans="1:5" hidden="1" x14ac:dyDescent="0.25">
      <c r="A134" t="s">
        <v>112</v>
      </c>
      <c r="B134" t="s">
        <v>24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0</v>
      </c>
    </row>
    <row r="135" spans="1:5" hidden="1" x14ac:dyDescent="0.25">
      <c r="A135" t="s">
        <v>112</v>
      </c>
      <c r="B135" t="s">
        <v>24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112</v>
      </c>
      <c r="B136" t="s">
        <v>24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112</v>
      </c>
      <c r="B137" t="s">
        <v>25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112</v>
      </c>
      <c r="B138" t="s">
        <v>25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112</v>
      </c>
      <c r="B139" t="s">
        <v>25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112</v>
      </c>
      <c r="B140" t="s">
        <v>25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112</v>
      </c>
      <c r="B141" t="s">
        <v>25</v>
      </c>
      <c r="C141" s="102" t="str">
        <f>Biogasanlæg!A18</f>
        <v>Bioaffald</v>
      </c>
      <c r="D141">
        <f t="shared" si="9"/>
        <v>2019</v>
      </c>
      <c r="E141" t="e">
        <f ca="1">IF(B141="Vestdanmark",VLOOKUP(C141,Biogasanlæg!$A$39:$E$55,MATCH(D141,Biogasanlæg!$A$38:$E$38,0),FALSE),VLOOKUP(C141,Biogasanlæg!$I$39:$M$55,MATCH(D141,Biogasanlæg!$I$38:$M$38,0),FALSE))</f>
        <v>#REF!</v>
      </c>
    </row>
    <row r="142" spans="1:5" hidden="1" x14ac:dyDescent="0.25">
      <c r="A142" t="s">
        <v>112</v>
      </c>
      <c r="B142" t="s">
        <v>25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112</v>
      </c>
      <c r="B143" t="s">
        <v>25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112</v>
      </c>
      <c r="B144" t="s">
        <v>25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112</v>
      </c>
      <c r="B145" t="s">
        <v>25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112</v>
      </c>
      <c r="B146" t="s">
        <v>25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112</v>
      </c>
      <c r="B147" t="s">
        <v>25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112</v>
      </c>
      <c r="B148" t="s">
        <v>25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112</v>
      </c>
      <c r="B149" t="s">
        <v>25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112</v>
      </c>
      <c r="B150" t="s">
        <v>25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112</v>
      </c>
      <c r="B151" t="s">
        <v>25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112</v>
      </c>
      <c r="B152" t="s">
        <v>25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112</v>
      </c>
      <c r="B153" t="s">
        <v>25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112</v>
      </c>
      <c r="B154" t="s">
        <v>25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353706.22477312014</v>
      </c>
    </row>
    <row r="155" spans="1:5" hidden="1" x14ac:dyDescent="0.25">
      <c r="A155" t="s">
        <v>112</v>
      </c>
      <c r="B155" t="s">
        <v>25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289518.26973799191</v>
      </c>
    </row>
    <row r="156" spans="1:5" hidden="1" x14ac:dyDescent="0.25">
      <c r="A156" t="s">
        <v>112</v>
      </c>
      <c r="B156" t="s">
        <v>25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227.28305853027575</v>
      </c>
    </row>
    <row r="157" spans="1:5" hidden="1" x14ac:dyDescent="0.25">
      <c r="A157" t="s">
        <v>112</v>
      </c>
      <c r="B157" t="s">
        <v>25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1266309.4826732657</v>
      </c>
    </row>
    <row r="158" spans="1:5" hidden="1" x14ac:dyDescent="0.25">
      <c r="A158" t="s">
        <v>112</v>
      </c>
      <c r="B158" t="s">
        <v>25</v>
      </c>
      <c r="C158" s="102" t="str">
        <f>Biogasanlæg!A18</f>
        <v>Bioaffald</v>
      </c>
      <c r="D158">
        <f t="shared" si="10"/>
        <v>2030</v>
      </c>
      <c r="E158" t="e">
        <f ca="1">IF(B158="Vestdanmark",VLOOKUP(C158,Biogasanlæg!$A$39:$E$55,MATCH(D158,Biogasanlæg!$A$38:$E$38,0),FALSE),VLOOKUP(C158,Biogasanlæg!$I$39:$M$55,MATCH(D158,Biogasanlæg!$I$38:$M$38,0),FALSE))</f>
        <v>#REF!</v>
      </c>
    </row>
    <row r="159" spans="1:5" hidden="1" x14ac:dyDescent="0.25">
      <c r="A159" t="s">
        <v>112</v>
      </c>
      <c r="B159" t="s">
        <v>25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0</v>
      </c>
    </row>
    <row r="160" spans="1:5" hidden="1" x14ac:dyDescent="0.25">
      <c r="A160" t="s">
        <v>112</v>
      </c>
      <c r="B160" t="s">
        <v>25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132864.36527113101</v>
      </c>
    </row>
    <row r="161" spans="1:5" hidden="1" x14ac:dyDescent="0.25">
      <c r="A161" t="s">
        <v>112</v>
      </c>
      <c r="B161" t="s">
        <v>25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23299.059266414486</v>
      </c>
    </row>
    <row r="162" spans="1:5" hidden="1" x14ac:dyDescent="0.25">
      <c r="A162" t="s">
        <v>112</v>
      </c>
      <c r="B162" t="s">
        <v>25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0</v>
      </c>
    </row>
    <row r="163" spans="1:5" hidden="1" x14ac:dyDescent="0.25">
      <c r="A163" t="s">
        <v>112</v>
      </c>
      <c r="B163" t="s">
        <v>25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0</v>
      </c>
    </row>
    <row r="164" spans="1:5" hidden="1" x14ac:dyDescent="0.25">
      <c r="A164" t="s">
        <v>112</v>
      </c>
      <c r="B164" t="s">
        <v>25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0</v>
      </c>
    </row>
    <row r="165" spans="1:5" hidden="1" x14ac:dyDescent="0.25">
      <c r="A165" t="s">
        <v>112</v>
      </c>
      <c r="B165" t="s">
        <v>25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0</v>
      </c>
    </row>
    <row r="166" spans="1:5" hidden="1" x14ac:dyDescent="0.25">
      <c r="A166" t="s">
        <v>112</v>
      </c>
      <c r="B166" t="s">
        <v>25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0</v>
      </c>
    </row>
    <row r="167" spans="1:5" hidden="1" x14ac:dyDescent="0.25">
      <c r="A167" t="s">
        <v>112</v>
      </c>
      <c r="B167" t="s">
        <v>25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0</v>
      </c>
    </row>
    <row r="168" spans="1:5" hidden="1" x14ac:dyDescent="0.25">
      <c r="A168" t="s">
        <v>112</v>
      </c>
      <c r="B168" t="s">
        <v>25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0</v>
      </c>
    </row>
    <row r="169" spans="1:5" hidden="1" x14ac:dyDescent="0.25">
      <c r="A169" t="s">
        <v>112</v>
      </c>
      <c r="B169" t="s">
        <v>25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112</v>
      </c>
      <c r="B170" t="s">
        <v>25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112</v>
      </c>
      <c r="B171" t="s">
        <v>25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9060.9073359297563</v>
      </c>
    </row>
    <row r="172" spans="1:5" hidden="1" x14ac:dyDescent="0.25">
      <c r="A172" t="s">
        <v>112</v>
      </c>
      <c r="B172" t="s">
        <v>25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41152.526310566187</v>
      </c>
    </row>
    <row r="173" spans="1:5" hidden="1" x14ac:dyDescent="0.25">
      <c r="A173" t="s">
        <v>112</v>
      </c>
      <c r="B173" t="s">
        <v>25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59.766906840866696</v>
      </c>
    </row>
    <row r="174" spans="1:5" hidden="1" x14ac:dyDescent="0.25">
      <c r="A174" t="s">
        <v>112</v>
      </c>
      <c r="B174" t="s">
        <v>25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1324453.0115708997</v>
      </c>
    </row>
    <row r="175" spans="1:5" hidden="1" x14ac:dyDescent="0.25">
      <c r="A175" t="s">
        <v>112</v>
      </c>
      <c r="B175" t="s">
        <v>25</v>
      </c>
      <c r="C175" s="102" t="str">
        <f>Biogasanlæg!A18</f>
        <v>Bioaffald</v>
      </c>
      <c r="D175">
        <f t="shared" si="11"/>
        <v>2050</v>
      </c>
      <c r="E175" t="e">
        <f ca="1">IF(B175="Vestdanmark",VLOOKUP(C175,Biogasanlæg!$A$39:$E$55,MATCH(D175,Biogasanlæg!$A$38:$E$38,0),FALSE),VLOOKUP(C175,Biogasanlæg!$I$39:$M$55,MATCH(D175,Biogasanlæg!$I$38:$M$38,0),FALSE))</f>
        <v>#REF!</v>
      </c>
    </row>
    <row r="176" spans="1:5" hidden="1" x14ac:dyDescent="0.25">
      <c r="A176" t="s">
        <v>112</v>
      </c>
      <c r="B176" t="s">
        <v>25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0</v>
      </c>
    </row>
    <row r="177" spans="1:18" hidden="1" x14ac:dyDescent="0.25">
      <c r="A177" t="s">
        <v>112</v>
      </c>
      <c r="B177" t="s">
        <v>25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38449.746444112672</v>
      </c>
    </row>
    <row r="178" spans="1:18" hidden="1" x14ac:dyDescent="0.25">
      <c r="A178" t="s">
        <v>112</v>
      </c>
      <c r="B178" t="s">
        <v>25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9319.623706565797</v>
      </c>
    </row>
    <row r="179" spans="1:18" hidden="1" x14ac:dyDescent="0.25">
      <c r="A179" t="s">
        <v>112</v>
      </c>
      <c r="B179" t="s">
        <v>25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0</v>
      </c>
    </row>
    <row r="180" spans="1:18" hidden="1" x14ac:dyDescent="0.25">
      <c r="A180" t="s">
        <v>112</v>
      </c>
      <c r="B180" t="s">
        <v>25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0</v>
      </c>
    </row>
    <row r="181" spans="1:18" hidden="1" x14ac:dyDescent="0.25">
      <c r="A181" t="s">
        <v>112</v>
      </c>
      <c r="B181" t="s">
        <v>25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0</v>
      </c>
    </row>
    <row r="182" spans="1:18" hidden="1" x14ac:dyDescent="0.25">
      <c r="A182" t="s">
        <v>112</v>
      </c>
      <c r="B182" t="s">
        <v>25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0</v>
      </c>
    </row>
    <row r="183" spans="1:18" hidden="1" x14ac:dyDescent="0.25">
      <c r="A183" t="s">
        <v>112</v>
      </c>
      <c r="B183" t="s">
        <v>25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0</v>
      </c>
    </row>
    <row r="184" spans="1:18" hidden="1" x14ac:dyDescent="0.25">
      <c r="A184" t="s">
        <v>112</v>
      </c>
      <c r="B184" t="s">
        <v>25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0</v>
      </c>
    </row>
    <row r="185" spans="1:18" hidden="1" x14ac:dyDescent="0.25">
      <c r="A185" t="s">
        <v>112</v>
      </c>
      <c r="B185" t="s">
        <v>25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0</v>
      </c>
    </row>
    <row r="186" spans="1:18" hidden="1" x14ac:dyDescent="0.25">
      <c r="A186" t="s">
        <v>112</v>
      </c>
      <c r="B186" t="s">
        <v>25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25">
      <c r="A187" t="s">
        <v>112</v>
      </c>
      <c r="B187" t="s">
        <v>25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25">
      <c r="A188" s="101" t="s">
        <v>115</v>
      </c>
      <c r="B188" t="s">
        <v>24</v>
      </c>
      <c r="C188" s="102" t="str">
        <f>Fodersammensætning!B21</f>
        <v>Korn</v>
      </c>
      <c r="D188">
        <f t="shared" ref="D188:D202" si="12">År1</f>
        <v>2019</v>
      </c>
      <c r="E188" s="153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18" hidden="1" x14ac:dyDescent="0.25">
      <c r="A189" s="101" t="s">
        <v>115</v>
      </c>
      <c r="B189" t="s">
        <v>24</v>
      </c>
      <c r="C189" s="102" t="str">
        <f>Fodersammensætning!B22</f>
        <v>Halm</v>
      </c>
      <c r="D189">
        <f t="shared" si="12"/>
        <v>2019</v>
      </c>
      <c r="E189" s="153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25">
      <c r="A190" s="101" t="s">
        <v>115</v>
      </c>
      <c r="B190" t="s">
        <v>24</v>
      </c>
      <c r="C190" s="102" t="str">
        <f>Fodersammensætning!B23</f>
        <v>Kartofler</v>
      </c>
      <c r="D190">
        <f t="shared" si="12"/>
        <v>2019</v>
      </c>
      <c r="E190" s="153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25">
      <c r="A191" s="101" t="s">
        <v>115</v>
      </c>
      <c r="B191" t="s">
        <v>24</v>
      </c>
      <c r="C191" s="102" t="str">
        <f>Fodersammensætning!B24</f>
        <v>Bælgsæd</v>
      </c>
      <c r="D191">
        <f t="shared" si="12"/>
        <v>2019</v>
      </c>
      <c r="E191" s="153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25">
      <c r="A192" s="101" t="s">
        <v>115</v>
      </c>
      <c r="B192" t="s">
        <v>24</v>
      </c>
      <c r="C192" s="102" t="str">
        <f>Fodersammensætning!B25</f>
        <v>Roer</v>
      </c>
      <c r="D192">
        <f t="shared" si="12"/>
        <v>2019</v>
      </c>
      <c r="E192" s="153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1" t="s">
        <v>115</v>
      </c>
      <c r="B193" t="s">
        <v>24</v>
      </c>
      <c r="C193" s="102" t="str">
        <f>Fodersammensætning!B26</f>
        <v>Majs</v>
      </c>
      <c r="D193">
        <f t="shared" si="12"/>
        <v>2019</v>
      </c>
      <c r="E193" s="153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1" t="s">
        <v>115</v>
      </c>
      <c r="B194" t="s">
        <v>24</v>
      </c>
      <c r="C194" s="102" t="str">
        <f>Fodersammensætning!B27</f>
        <v>Rapskage</v>
      </c>
      <c r="D194">
        <f t="shared" si="12"/>
        <v>2019</v>
      </c>
      <c r="E194" s="153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1" t="s">
        <v>115</v>
      </c>
      <c r="B195" t="s">
        <v>24</v>
      </c>
      <c r="C195" s="102" t="str">
        <f>Fodersammensætning!B28</f>
        <v>Tang</v>
      </c>
      <c r="D195">
        <f t="shared" si="12"/>
        <v>2019</v>
      </c>
      <c r="E195" s="153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1" t="s">
        <v>115</v>
      </c>
      <c r="B196" t="s">
        <v>24</v>
      </c>
      <c r="C196" s="102" t="str">
        <f>Fodersammensætning!B29</f>
        <v>Muslinger</v>
      </c>
      <c r="D196">
        <f t="shared" si="12"/>
        <v>2019</v>
      </c>
      <c r="E196" s="153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1" t="s">
        <v>115</v>
      </c>
      <c r="B197" t="s">
        <v>24</v>
      </c>
      <c r="C197" s="102" t="str">
        <f>Fodersammensætning!B30</f>
        <v>Græs</v>
      </c>
      <c r="D197">
        <f t="shared" si="12"/>
        <v>2019</v>
      </c>
      <c r="E197" s="153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1" t="s">
        <v>115</v>
      </c>
      <c r="B198" t="s">
        <v>24</v>
      </c>
      <c r="C198" s="102" t="str">
        <f>Fodersammensætning!B31</f>
        <v>Mælk til foder</v>
      </c>
      <c r="D198">
        <f t="shared" si="12"/>
        <v>2019</v>
      </c>
      <c r="E198" s="153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1" t="s">
        <v>115</v>
      </c>
      <c r="B199" t="s">
        <v>24</v>
      </c>
      <c r="C199" s="102" t="str">
        <f>Fodersammensætning!B32</f>
        <v>Fiberfraktion</v>
      </c>
      <c r="D199">
        <f t="shared" si="12"/>
        <v>2019</v>
      </c>
      <c r="E199" s="153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1" t="s">
        <v>115</v>
      </c>
      <c r="B200" t="s">
        <v>24</v>
      </c>
      <c r="C200" s="102" t="str">
        <f>Fodersammensætning!B33</f>
        <v>Græsprotein</v>
      </c>
      <c r="D200">
        <f t="shared" si="12"/>
        <v>2019</v>
      </c>
      <c r="E200" s="153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1" t="s">
        <v>115</v>
      </c>
      <c r="B201" t="s">
        <v>24</v>
      </c>
      <c r="C201" s="102" t="str">
        <f>Fodersammensætning!B34</f>
        <v>Slagteriaffald til foder</v>
      </c>
      <c r="D201">
        <f t="shared" si="12"/>
        <v>2019</v>
      </c>
      <c r="E201" s="153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1" t="s">
        <v>115</v>
      </c>
      <c r="B202" t="s">
        <v>24</v>
      </c>
      <c r="C202" s="102" t="str">
        <f>Fodersammensætning!B35</f>
        <v>Import af foder</v>
      </c>
      <c r="D202">
        <f t="shared" si="12"/>
        <v>2019</v>
      </c>
      <c r="E202" s="153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1" t="s">
        <v>115</v>
      </c>
      <c r="B203" t="s">
        <v>24</v>
      </c>
      <c r="C203" s="102" t="str">
        <f>C188</f>
        <v>Korn</v>
      </c>
      <c r="D203">
        <f t="shared" ref="D203:D217" si="13">År2</f>
        <v>2030</v>
      </c>
      <c r="E203" s="153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2939607.6009978116</v>
      </c>
    </row>
    <row r="204" spans="1:5" hidden="1" x14ac:dyDescent="0.25">
      <c r="A204" s="101" t="s">
        <v>115</v>
      </c>
      <c r="B204" t="s">
        <v>24</v>
      </c>
      <c r="C204" s="102" t="str">
        <f t="shared" ref="C204:C267" si="14">C189</f>
        <v>Halm</v>
      </c>
      <c r="D204">
        <f t="shared" si="13"/>
        <v>2030</v>
      </c>
      <c r="E204" s="153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386542.94677146303</v>
      </c>
    </row>
    <row r="205" spans="1:5" hidden="1" x14ac:dyDescent="0.25">
      <c r="A205" s="101" t="s">
        <v>115</v>
      </c>
      <c r="B205" t="s">
        <v>24</v>
      </c>
      <c r="C205" s="102" t="str">
        <f t="shared" si="14"/>
        <v>Kartofler</v>
      </c>
      <c r="D205">
        <f t="shared" si="13"/>
        <v>2030</v>
      </c>
      <c r="E205" s="153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1" t="s">
        <v>115</v>
      </c>
      <c r="B206" t="s">
        <v>24</v>
      </c>
      <c r="C206" s="102" t="str">
        <f t="shared" si="14"/>
        <v>Bælgsæd</v>
      </c>
      <c r="D206">
        <f t="shared" si="13"/>
        <v>2030</v>
      </c>
      <c r="E206" s="153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32249.237737595988</v>
      </c>
    </row>
    <row r="207" spans="1:5" hidden="1" x14ac:dyDescent="0.25">
      <c r="A207" s="101" t="s">
        <v>115</v>
      </c>
      <c r="B207" t="s">
        <v>24</v>
      </c>
      <c r="C207" s="102" t="str">
        <f t="shared" si="14"/>
        <v>Roer</v>
      </c>
      <c r="D207">
        <f t="shared" si="13"/>
        <v>2030</v>
      </c>
      <c r="E207" s="153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420583.80882781441</v>
      </c>
    </row>
    <row r="208" spans="1:5" hidden="1" x14ac:dyDescent="0.25">
      <c r="A208" s="101" t="s">
        <v>115</v>
      </c>
      <c r="B208" t="s">
        <v>24</v>
      </c>
      <c r="C208" s="102" t="str">
        <f t="shared" si="14"/>
        <v>Majs</v>
      </c>
      <c r="D208">
        <f t="shared" si="13"/>
        <v>2030</v>
      </c>
      <c r="E208" s="153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2828526.8932349812</v>
      </c>
    </row>
    <row r="209" spans="1:5" hidden="1" x14ac:dyDescent="0.25">
      <c r="A209" s="101" t="s">
        <v>115</v>
      </c>
      <c r="B209" t="s">
        <v>24</v>
      </c>
      <c r="C209" s="102" t="str">
        <f t="shared" si="14"/>
        <v>Rapskage</v>
      </c>
      <c r="D209">
        <f t="shared" si="13"/>
        <v>2030</v>
      </c>
      <c r="E209" s="153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107049.55304563112</v>
      </c>
    </row>
    <row r="210" spans="1:5" hidden="1" x14ac:dyDescent="0.25">
      <c r="A210" s="101" t="s">
        <v>115</v>
      </c>
      <c r="B210" t="s">
        <v>24</v>
      </c>
      <c r="C210" s="102" t="str">
        <f t="shared" si="14"/>
        <v>Tang</v>
      </c>
      <c r="D210">
        <f t="shared" si="13"/>
        <v>2030</v>
      </c>
      <c r="E210" s="153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4863.4037343860291</v>
      </c>
    </row>
    <row r="211" spans="1:5" hidden="1" x14ac:dyDescent="0.25">
      <c r="A211" s="101" t="s">
        <v>115</v>
      </c>
      <c r="B211" t="s">
        <v>24</v>
      </c>
      <c r="C211" s="102" t="str">
        <f t="shared" si="14"/>
        <v>Muslinger</v>
      </c>
      <c r="D211">
        <f t="shared" si="13"/>
        <v>2030</v>
      </c>
      <c r="E211" s="153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1" t="s">
        <v>115</v>
      </c>
      <c r="B212" t="s">
        <v>24</v>
      </c>
      <c r="C212" s="102" t="str">
        <f t="shared" si="14"/>
        <v>Græs</v>
      </c>
      <c r="D212">
        <f t="shared" si="13"/>
        <v>2030</v>
      </c>
      <c r="E212" s="153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6118844.9546291493</v>
      </c>
    </row>
    <row r="213" spans="1:5" hidden="1" x14ac:dyDescent="0.25">
      <c r="A213" s="101" t="s">
        <v>115</v>
      </c>
      <c r="B213" t="s">
        <v>24</v>
      </c>
      <c r="C213" s="102" t="str">
        <f t="shared" si="14"/>
        <v>Mælk til foder</v>
      </c>
      <c r="D213">
        <f t="shared" si="13"/>
        <v>2030</v>
      </c>
      <c r="E213" s="153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757857.08683350566</v>
      </c>
    </row>
    <row r="214" spans="1:5" hidden="1" x14ac:dyDescent="0.25">
      <c r="A214" s="101" t="s">
        <v>115</v>
      </c>
      <c r="B214" t="s">
        <v>24</v>
      </c>
      <c r="C214" s="102" t="str">
        <f t="shared" si="14"/>
        <v>Fiberfraktion</v>
      </c>
      <c r="D214">
        <f t="shared" si="13"/>
        <v>2030</v>
      </c>
      <c r="E214" s="153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1" t="s">
        <v>115</v>
      </c>
      <c r="B215" t="s">
        <v>24</v>
      </c>
      <c r="C215" s="102" t="str">
        <f t="shared" si="14"/>
        <v>Græsprotein</v>
      </c>
      <c r="D215">
        <f t="shared" si="13"/>
        <v>2030</v>
      </c>
      <c r="E215" s="153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649397.03682420007</v>
      </c>
    </row>
    <row r="216" spans="1:5" hidden="1" x14ac:dyDescent="0.25">
      <c r="A216" s="101" t="s">
        <v>115</v>
      </c>
      <c r="B216" t="s">
        <v>24</v>
      </c>
      <c r="C216" s="102" t="str">
        <f t="shared" si="14"/>
        <v>Slagteriaffald til foder</v>
      </c>
      <c r="D216">
        <f t="shared" si="13"/>
        <v>2030</v>
      </c>
      <c r="E216" s="153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19707.867506308663</v>
      </c>
    </row>
    <row r="217" spans="1:5" hidden="1" x14ac:dyDescent="0.25">
      <c r="A217" s="101" t="s">
        <v>115</v>
      </c>
      <c r="B217" t="s">
        <v>24</v>
      </c>
      <c r="C217" s="102" t="str">
        <f t="shared" si="14"/>
        <v>Import af foder</v>
      </c>
      <c r="D217">
        <f t="shared" si="13"/>
        <v>2030</v>
      </c>
      <c r="E217" s="153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0</v>
      </c>
    </row>
    <row r="218" spans="1:5" hidden="1" x14ac:dyDescent="0.25">
      <c r="A218" s="101" t="s">
        <v>115</v>
      </c>
      <c r="B218" t="s">
        <v>24</v>
      </c>
      <c r="C218" s="102" t="str">
        <f t="shared" si="14"/>
        <v>Korn</v>
      </c>
      <c r="D218">
        <f t="shared" ref="D218:D232" si="15">År3</f>
        <v>2050</v>
      </c>
      <c r="E218" s="153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587921.52019956254</v>
      </c>
    </row>
    <row r="219" spans="1:5" hidden="1" x14ac:dyDescent="0.25">
      <c r="A219" s="101" t="s">
        <v>115</v>
      </c>
      <c r="B219" t="s">
        <v>24</v>
      </c>
      <c r="C219" s="102" t="str">
        <f t="shared" si="14"/>
        <v>Halm</v>
      </c>
      <c r="D219">
        <f t="shared" si="15"/>
        <v>2050</v>
      </c>
      <c r="E219" s="153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77308.589354292635</v>
      </c>
    </row>
    <row r="220" spans="1:5" hidden="1" x14ac:dyDescent="0.25">
      <c r="A220" s="101" t="s">
        <v>115</v>
      </c>
      <c r="B220" t="s">
        <v>24</v>
      </c>
      <c r="C220" s="102" t="str">
        <f t="shared" si="14"/>
        <v>Kartofler</v>
      </c>
      <c r="D220">
        <f t="shared" si="15"/>
        <v>2050</v>
      </c>
      <c r="E220" s="153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1" t="s">
        <v>115</v>
      </c>
      <c r="B221" t="s">
        <v>24</v>
      </c>
      <c r="C221" s="102" t="str">
        <f t="shared" si="14"/>
        <v>Bælgsæd</v>
      </c>
      <c r="D221">
        <f t="shared" si="15"/>
        <v>2050</v>
      </c>
      <c r="E221" s="153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6449.847547519199</v>
      </c>
    </row>
    <row r="222" spans="1:5" hidden="1" x14ac:dyDescent="0.25">
      <c r="A222" s="101" t="s">
        <v>115</v>
      </c>
      <c r="B222" t="s">
        <v>24</v>
      </c>
      <c r="C222" s="102" t="str">
        <f t="shared" si="14"/>
        <v>Roer</v>
      </c>
      <c r="D222">
        <f t="shared" si="15"/>
        <v>2050</v>
      </c>
      <c r="E222" s="153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84116.7617655629</v>
      </c>
    </row>
    <row r="223" spans="1:5" hidden="1" x14ac:dyDescent="0.25">
      <c r="A223" s="101" t="s">
        <v>115</v>
      </c>
      <c r="B223" t="s">
        <v>24</v>
      </c>
      <c r="C223" s="102" t="str">
        <f t="shared" si="14"/>
        <v>Majs</v>
      </c>
      <c r="D223">
        <f t="shared" si="15"/>
        <v>2050</v>
      </c>
      <c r="E223" s="153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565705.37864699645</v>
      </c>
    </row>
    <row r="224" spans="1:5" hidden="1" x14ac:dyDescent="0.25">
      <c r="A224" s="101" t="s">
        <v>115</v>
      </c>
      <c r="B224" t="s">
        <v>24</v>
      </c>
      <c r="C224" s="102" t="str">
        <f t="shared" si="14"/>
        <v>Rapskage</v>
      </c>
      <c r="D224">
        <f t="shared" si="15"/>
        <v>2050</v>
      </c>
      <c r="E224" s="153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21409.910609126229</v>
      </c>
    </row>
    <row r="225" spans="1:5" hidden="1" x14ac:dyDescent="0.25">
      <c r="A225" s="101" t="s">
        <v>115</v>
      </c>
      <c r="B225" t="s">
        <v>24</v>
      </c>
      <c r="C225" s="102" t="str">
        <f t="shared" si="14"/>
        <v>Tang</v>
      </c>
      <c r="D225">
        <f t="shared" si="15"/>
        <v>2050</v>
      </c>
      <c r="E225" s="153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972.68074687720616</v>
      </c>
    </row>
    <row r="226" spans="1:5" hidden="1" x14ac:dyDescent="0.25">
      <c r="A226" s="101" t="s">
        <v>115</v>
      </c>
      <c r="B226" t="s">
        <v>24</v>
      </c>
      <c r="C226" s="102" t="str">
        <f t="shared" si="14"/>
        <v>Muslinger</v>
      </c>
      <c r="D226">
        <f t="shared" si="15"/>
        <v>2050</v>
      </c>
      <c r="E226" s="153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1" t="s">
        <v>115</v>
      </c>
      <c r="B227" t="s">
        <v>24</v>
      </c>
      <c r="C227" s="102" t="str">
        <f t="shared" si="14"/>
        <v>Græs</v>
      </c>
      <c r="D227">
        <f t="shared" si="15"/>
        <v>2050</v>
      </c>
      <c r="E227" s="153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1223768.9909258301</v>
      </c>
    </row>
    <row r="228" spans="1:5" hidden="1" x14ac:dyDescent="0.25">
      <c r="A228" s="101" t="s">
        <v>115</v>
      </c>
      <c r="B228" t="s">
        <v>24</v>
      </c>
      <c r="C228" s="102" t="str">
        <f t="shared" si="14"/>
        <v>Mælk til foder</v>
      </c>
      <c r="D228">
        <f t="shared" si="15"/>
        <v>2050</v>
      </c>
      <c r="E228" s="153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151571.41736670118</v>
      </c>
    </row>
    <row r="229" spans="1:5" hidden="1" x14ac:dyDescent="0.25">
      <c r="A229" s="101" t="s">
        <v>115</v>
      </c>
      <c r="B229" t="s">
        <v>24</v>
      </c>
      <c r="C229" s="102" t="str">
        <f t="shared" si="14"/>
        <v>Fiberfraktion</v>
      </c>
      <c r="D229">
        <f t="shared" si="15"/>
        <v>2050</v>
      </c>
      <c r="E229" s="153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1" t="s">
        <v>115</v>
      </c>
      <c r="B230" t="s">
        <v>24</v>
      </c>
      <c r="C230" s="102" t="str">
        <f t="shared" si="14"/>
        <v>Græsprotein</v>
      </c>
      <c r="D230">
        <f t="shared" si="15"/>
        <v>2050</v>
      </c>
      <c r="E230" s="153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129879.40736484004</v>
      </c>
    </row>
    <row r="231" spans="1:5" hidden="1" x14ac:dyDescent="0.25">
      <c r="A231" s="101" t="s">
        <v>115</v>
      </c>
      <c r="B231" t="s">
        <v>24</v>
      </c>
      <c r="C231" s="102" t="str">
        <f t="shared" si="14"/>
        <v>Slagteriaffald til foder</v>
      </c>
      <c r="D231">
        <f t="shared" si="15"/>
        <v>2050</v>
      </c>
      <c r="E231" s="153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3941.5735012617333</v>
      </c>
    </row>
    <row r="232" spans="1:5" hidden="1" x14ac:dyDescent="0.25">
      <c r="A232" s="101" t="s">
        <v>115</v>
      </c>
      <c r="B232" t="s">
        <v>24</v>
      </c>
      <c r="C232" s="102" t="str">
        <f t="shared" si="14"/>
        <v>Import af foder</v>
      </c>
      <c r="D232">
        <f t="shared" si="15"/>
        <v>2050</v>
      </c>
      <c r="E232" s="153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0</v>
      </c>
    </row>
    <row r="233" spans="1:5" hidden="1" x14ac:dyDescent="0.25">
      <c r="A233" s="101" t="s">
        <v>115</v>
      </c>
      <c r="B233" t="s">
        <v>25</v>
      </c>
      <c r="C233" s="102" t="str">
        <f t="shared" si="14"/>
        <v>Korn</v>
      </c>
      <c r="D233">
        <f t="shared" ref="D233:D247" si="16">År1</f>
        <v>2019</v>
      </c>
      <c r="E233" s="153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1" t="s">
        <v>115</v>
      </c>
      <c r="B234" t="s">
        <v>25</v>
      </c>
      <c r="C234" s="102" t="str">
        <f t="shared" si="14"/>
        <v>Halm</v>
      </c>
      <c r="D234">
        <f t="shared" si="16"/>
        <v>2019</v>
      </c>
      <c r="E234" s="153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1" t="s">
        <v>115</v>
      </c>
      <c r="B235" t="s">
        <v>25</v>
      </c>
      <c r="C235" s="102" t="str">
        <f t="shared" si="14"/>
        <v>Kartofler</v>
      </c>
      <c r="D235">
        <f t="shared" si="16"/>
        <v>2019</v>
      </c>
      <c r="E235" s="153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1" t="s">
        <v>115</v>
      </c>
      <c r="B236" t="s">
        <v>25</v>
      </c>
      <c r="C236" s="102" t="str">
        <f t="shared" si="14"/>
        <v>Bælgsæd</v>
      </c>
      <c r="D236">
        <f t="shared" si="16"/>
        <v>2019</v>
      </c>
      <c r="E236" s="153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1" t="s">
        <v>115</v>
      </c>
      <c r="B237" t="s">
        <v>25</v>
      </c>
      <c r="C237" s="102" t="str">
        <f t="shared" si="14"/>
        <v>Roer</v>
      </c>
      <c r="D237">
        <f t="shared" si="16"/>
        <v>2019</v>
      </c>
      <c r="E237" s="153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1" t="s">
        <v>115</v>
      </c>
      <c r="B238" t="s">
        <v>25</v>
      </c>
      <c r="C238" s="102" t="str">
        <f t="shared" si="14"/>
        <v>Majs</v>
      </c>
      <c r="D238">
        <f t="shared" si="16"/>
        <v>2019</v>
      </c>
      <c r="E238" s="153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1" t="s">
        <v>115</v>
      </c>
      <c r="B239" t="s">
        <v>25</v>
      </c>
      <c r="C239" s="102" t="str">
        <f t="shared" si="14"/>
        <v>Rapskage</v>
      </c>
      <c r="D239">
        <f t="shared" si="16"/>
        <v>2019</v>
      </c>
      <c r="E239" s="153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1" t="s">
        <v>115</v>
      </c>
      <c r="B240" t="s">
        <v>25</v>
      </c>
      <c r="C240" s="102" t="str">
        <f t="shared" si="14"/>
        <v>Tang</v>
      </c>
      <c r="D240">
        <f t="shared" si="16"/>
        <v>2019</v>
      </c>
      <c r="E240" s="153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1" t="s">
        <v>115</v>
      </c>
      <c r="B241" t="s">
        <v>25</v>
      </c>
      <c r="C241" s="102" t="str">
        <f t="shared" si="14"/>
        <v>Muslinger</v>
      </c>
      <c r="D241">
        <f t="shared" si="16"/>
        <v>2019</v>
      </c>
      <c r="E241" s="153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1" t="s">
        <v>115</v>
      </c>
      <c r="B242" t="s">
        <v>25</v>
      </c>
      <c r="C242" s="102" t="str">
        <f t="shared" si="14"/>
        <v>Græs</v>
      </c>
      <c r="D242">
        <f t="shared" si="16"/>
        <v>2019</v>
      </c>
      <c r="E242" s="153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1" t="s">
        <v>115</v>
      </c>
      <c r="B243" t="s">
        <v>25</v>
      </c>
      <c r="C243" s="102" t="str">
        <f t="shared" si="14"/>
        <v>Mælk til foder</v>
      </c>
      <c r="D243">
        <f t="shared" si="16"/>
        <v>2019</v>
      </c>
      <c r="E243" s="153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1" t="s">
        <v>115</v>
      </c>
      <c r="B244" t="s">
        <v>25</v>
      </c>
      <c r="C244" s="102" t="str">
        <f t="shared" si="14"/>
        <v>Fiberfraktion</v>
      </c>
      <c r="D244">
        <f t="shared" si="16"/>
        <v>2019</v>
      </c>
      <c r="E244" s="153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1" t="s">
        <v>115</v>
      </c>
      <c r="B245" t="s">
        <v>25</v>
      </c>
      <c r="C245" s="102" t="str">
        <f t="shared" si="14"/>
        <v>Græsprotein</v>
      </c>
      <c r="D245">
        <f t="shared" si="16"/>
        <v>2019</v>
      </c>
      <c r="E245" s="153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1" t="s">
        <v>115</v>
      </c>
      <c r="B246" t="s">
        <v>25</v>
      </c>
      <c r="C246" s="102" t="str">
        <f t="shared" si="14"/>
        <v>Slagteriaffald til foder</v>
      </c>
      <c r="D246">
        <f t="shared" si="16"/>
        <v>2019</v>
      </c>
      <c r="E246" s="153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1" t="s">
        <v>115</v>
      </c>
      <c r="B247" t="s">
        <v>25</v>
      </c>
      <c r="C247" s="102" t="str">
        <f t="shared" si="14"/>
        <v>Import af foder</v>
      </c>
      <c r="D247">
        <f t="shared" si="16"/>
        <v>2019</v>
      </c>
      <c r="E247" s="153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1" t="s">
        <v>115</v>
      </c>
      <c r="B248" t="s">
        <v>25</v>
      </c>
      <c r="C248" s="102" t="str">
        <f t="shared" si="14"/>
        <v>Korn</v>
      </c>
      <c r="D248">
        <f t="shared" ref="D248:D262" si="17">År2</f>
        <v>2030</v>
      </c>
      <c r="E248" s="153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360810.80385275168</v>
      </c>
    </row>
    <row r="249" spans="1:5" hidden="1" x14ac:dyDescent="0.25">
      <c r="A249" s="101" t="s">
        <v>115</v>
      </c>
      <c r="B249" t="s">
        <v>25</v>
      </c>
      <c r="C249" s="102" t="str">
        <f t="shared" si="14"/>
        <v>Halm</v>
      </c>
      <c r="D249">
        <f t="shared" si="17"/>
        <v>2030</v>
      </c>
      <c r="E249" s="153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47444.724017206274</v>
      </c>
    </row>
    <row r="250" spans="1:5" hidden="1" x14ac:dyDescent="0.25">
      <c r="A250" s="101" t="s">
        <v>115</v>
      </c>
      <c r="B250" t="s">
        <v>25</v>
      </c>
      <c r="C250" s="102" t="str">
        <f t="shared" si="14"/>
        <v>Kartofler</v>
      </c>
      <c r="D250">
        <f t="shared" si="17"/>
        <v>2030</v>
      </c>
      <c r="E250" s="153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1" t="s">
        <v>115</v>
      </c>
      <c r="B251" t="s">
        <v>25</v>
      </c>
      <c r="C251" s="102" t="str">
        <f t="shared" si="14"/>
        <v>Bælgsæd</v>
      </c>
      <c r="D251">
        <f t="shared" si="17"/>
        <v>2030</v>
      </c>
      <c r="E251" s="153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3958.3083768700485</v>
      </c>
    </row>
    <row r="252" spans="1:5" hidden="1" x14ac:dyDescent="0.25">
      <c r="A252" s="101" t="s">
        <v>115</v>
      </c>
      <c r="B252" t="s">
        <v>25</v>
      </c>
      <c r="C252" s="102" t="str">
        <f t="shared" si="14"/>
        <v>Roer</v>
      </c>
      <c r="D252">
        <f t="shared" si="17"/>
        <v>2030</v>
      </c>
      <c r="E252" s="153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51622.938415013545</v>
      </c>
    </row>
    <row r="253" spans="1:5" hidden="1" x14ac:dyDescent="0.25">
      <c r="A253" s="101" t="s">
        <v>115</v>
      </c>
      <c r="B253" t="s">
        <v>25</v>
      </c>
      <c r="C253" s="102" t="str">
        <f t="shared" si="14"/>
        <v>Majs</v>
      </c>
      <c r="D253">
        <f t="shared" si="17"/>
        <v>2030</v>
      </c>
      <c r="E253" s="153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347176.63055464375</v>
      </c>
    </row>
    <row r="254" spans="1:5" hidden="1" x14ac:dyDescent="0.25">
      <c r="A254" s="101" t="s">
        <v>115</v>
      </c>
      <c r="B254" t="s">
        <v>25</v>
      </c>
      <c r="C254" s="102" t="str">
        <f t="shared" si="14"/>
        <v>Rapskage</v>
      </c>
      <c r="D254">
        <f t="shared" si="17"/>
        <v>2030</v>
      </c>
      <c r="E254" s="153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13139.384750999187</v>
      </c>
    </row>
    <row r="255" spans="1:5" hidden="1" x14ac:dyDescent="0.25">
      <c r="A255" s="101" t="s">
        <v>115</v>
      </c>
      <c r="B255" t="s">
        <v>25</v>
      </c>
      <c r="C255" s="102" t="str">
        <f t="shared" si="14"/>
        <v>Tang</v>
      </c>
      <c r="D255">
        <f t="shared" si="17"/>
        <v>2030</v>
      </c>
      <c r="E255" s="153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596.93974470220587</v>
      </c>
    </row>
    <row r="256" spans="1:5" hidden="1" x14ac:dyDescent="0.25">
      <c r="A256" s="101" t="s">
        <v>115</v>
      </c>
      <c r="B256" t="s">
        <v>25</v>
      </c>
      <c r="C256" s="102" t="str">
        <f t="shared" si="14"/>
        <v>Muslinger</v>
      </c>
      <c r="D256">
        <f t="shared" si="17"/>
        <v>2030</v>
      </c>
      <c r="E256" s="153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1" t="s">
        <v>115</v>
      </c>
      <c r="B257" t="s">
        <v>25</v>
      </c>
      <c r="C257" s="102" t="str">
        <f t="shared" si="14"/>
        <v>Græs</v>
      </c>
      <c r="D257">
        <f t="shared" si="17"/>
        <v>2030</v>
      </c>
      <c r="E257" s="153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751034.03800585715</v>
      </c>
    </row>
    <row r="258" spans="1:5" hidden="1" x14ac:dyDescent="0.25">
      <c r="A258" s="101" t="s">
        <v>115</v>
      </c>
      <c r="B258" t="s">
        <v>25</v>
      </c>
      <c r="C258" s="102" t="str">
        <f t="shared" si="14"/>
        <v>Mælk til foder</v>
      </c>
      <c r="D258">
        <f t="shared" si="17"/>
        <v>2030</v>
      </c>
      <c r="E258" s="153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93020.246856446116</v>
      </c>
    </row>
    <row r="259" spans="1:5" hidden="1" x14ac:dyDescent="0.25">
      <c r="A259" s="101" t="s">
        <v>115</v>
      </c>
      <c r="B259" t="s">
        <v>25</v>
      </c>
      <c r="C259" s="102" t="str">
        <f t="shared" si="14"/>
        <v>Fiberfraktion</v>
      </c>
      <c r="D259">
        <f t="shared" si="17"/>
        <v>2030</v>
      </c>
      <c r="E259" s="153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1" t="s">
        <v>115</v>
      </c>
      <c r="B260" t="s">
        <v>25</v>
      </c>
      <c r="C260" s="102" t="str">
        <f t="shared" si="14"/>
        <v>Græsprotein</v>
      </c>
      <c r="D260">
        <f t="shared" si="17"/>
        <v>2030</v>
      </c>
      <c r="E260" s="153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79707.736092599996</v>
      </c>
    </row>
    <row r="261" spans="1:5" hidden="1" x14ac:dyDescent="0.25">
      <c r="A261" s="101" t="s">
        <v>115</v>
      </c>
      <c r="B261" t="s">
        <v>25</v>
      </c>
      <c r="C261" s="102" t="str">
        <f t="shared" si="14"/>
        <v>Slagteriaffald til foder</v>
      </c>
      <c r="D261">
        <f t="shared" si="17"/>
        <v>2030</v>
      </c>
      <c r="E261" s="153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2418.9662303094738</v>
      </c>
    </row>
    <row r="262" spans="1:5" hidden="1" x14ac:dyDescent="0.25">
      <c r="A262" s="101" t="s">
        <v>115</v>
      </c>
      <c r="B262" t="s">
        <v>25</v>
      </c>
      <c r="C262" s="102" t="str">
        <f t="shared" si="14"/>
        <v>Import af foder</v>
      </c>
      <c r="D262">
        <f t="shared" si="17"/>
        <v>2030</v>
      </c>
      <c r="E262" s="153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0</v>
      </c>
    </row>
    <row r="263" spans="1:5" hidden="1" x14ac:dyDescent="0.25">
      <c r="A263" s="101" t="s">
        <v>115</v>
      </c>
      <c r="B263" t="s">
        <v>25</v>
      </c>
      <c r="C263" s="102" t="str">
        <f t="shared" si="14"/>
        <v>Korn</v>
      </c>
      <c r="D263">
        <f t="shared" ref="D263:D277" si="18">År3</f>
        <v>2050</v>
      </c>
      <c r="E263" s="153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72162.160770550341</v>
      </c>
    </row>
    <row r="264" spans="1:5" hidden="1" x14ac:dyDescent="0.25">
      <c r="A264" s="101" t="s">
        <v>115</v>
      </c>
      <c r="B264" t="s">
        <v>25</v>
      </c>
      <c r="C264" s="102" t="str">
        <f t="shared" si="14"/>
        <v>Halm</v>
      </c>
      <c r="D264">
        <f t="shared" si="18"/>
        <v>2050</v>
      </c>
      <c r="E264" s="153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9488.9448034412562</v>
      </c>
    </row>
    <row r="265" spans="1:5" hidden="1" x14ac:dyDescent="0.25">
      <c r="A265" s="101" t="s">
        <v>115</v>
      </c>
      <c r="B265" t="s">
        <v>25</v>
      </c>
      <c r="C265" s="102" t="str">
        <f t="shared" si="14"/>
        <v>Kartofler</v>
      </c>
      <c r="D265">
        <f t="shared" si="18"/>
        <v>2050</v>
      </c>
      <c r="E265" s="153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1" t="s">
        <v>115</v>
      </c>
      <c r="B266" t="s">
        <v>25</v>
      </c>
      <c r="C266" s="102" t="str">
        <f t="shared" si="14"/>
        <v>Bælgsæd</v>
      </c>
      <c r="D266">
        <f t="shared" si="18"/>
        <v>2050</v>
      </c>
      <c r="E266" s="153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791.66167537400975</v>
      </c>
    </row>
    <row r="267" spans="1:5" hidden="1" x14ac:dyDescent="0.25">
      <c r="A267" s="101" t="s">
        <v>115</v>
      </c>
      <c r="B267" t="s">
        <v>25</v>
      </c>
      <c r="C267" s="102" t="str">
        <f t="shared" si="14"/>
        <v>Roer</v>
      </c>
      <c r="D267">
        <f t="shared" si="18"/>
        <v>2050</v>
      </c>
      <c r="E267" s="153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10324.58768300271</v>
      </c>
    </row>
    <row r="268" spans="1:5" hidden="1" x14ac:dyDescent="0.25">
      <c r="A268" s="101" t="s">
        <v>115</v>
      </c>
      <c r="B268" t="s">
        <v>25</v>
      </c>
      <c r="C268" s="102" t="str">
        <f t="shared" ref="C268:C277" si="19">C253</f>
        <v>Majs</v>
      </c>
      <c r="D268">
        <f t="shared" si="18"/>
        <v>2050</v>
      </c>
      <c r="E268" s="153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69435.326110928756</v>
      </c>
    </row>
    <row r="269" spans="1:5" hidden="1" x14ac:dyDescent="0.25">
      <c r="A269" s="101" t="s">
        <v>115</v>
      </c>
      <c r="B269" t="s">
        <v>25</v>
      </c>
      <c r="C269" s="102" t="str">
        <f t="shared" si="19"/>
        <v>Rapskage</v>
      </c>
      <c r="D269">
        <f t="shared" si="18"/>
        <v>2050</v>
      </c>
      <c r="E269" s="153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2627.8769501998377</v>
      </c>
    </row>
    <row r="270" spans="1:5" hidden="1" x14ac:dyDescent="0.25">
      <c r="A270" s="101" t="s">
        <v>115</v>
      </c>
      <c r="B270" t="s">
        <v>25</v>
      </c>
      <c r="C270" s="102" t="str">
        <f t="shared" si="19"/>
        <v>Tang</v>
      </c>
      <c r="D270">
        <f t="shared" si="18"/>
        <v>2050</v>
      </c>
      <c r="E270" s="153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119.38794894044119</v>
      </c>
    </row>
    <row r="271" spans="1:5" hidden="1" x14ac:dyDescent="0.25">
      <c r="A271" s="101" t="s">
        <v>115</v>
      </c>
      <c r="B271" t="s">
        <v>25</v>
      </c>
      <c r="C271" s="102" t="str">
        <f t="shared" si="19"/>
        <v>Muslinger</v>
      </c>
      <c r="D271">
        <f t="shared" si="18"/>
        <v>2050</v>
      </c>
      <c r="E271" s="153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1" t="s">
        <v>115</v>
      </c>
      <c r="B272" t="s">
        <v>25</v>
      </c>
      <c r="C272" s="102" t="str">
        <f t="shared" si="19"/>
        <v>Græs</v>
      </c>
      <c r="D272">
        <f t="shared" si="18"/>
        <v>2050</v>
      </c>
      <c r="E272" s="153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150206.80760117146</v>
      </c>
    </row>
    <row r="273" spans="1:7" hidden="1" x14ac:dyDescent="0.25">
      <c r="A273" s="101" t="s">
        <v>115</v>
      </c>
      <c r="B273" t="s">
        <v>25</v>
      </c>
      <c r="C273" s="102" t="str">
        <f t="shared" si="19"/>
        <v>Mælk til foder</v>
      </c>
      <c r="D273">
        <f t="shared" si="18"/>
        <v>2050</v>
      </c>
      <c r="E273" s="153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18604.049371289228</v>
      </c>
    </row>
    <row r="274" spans="1:7" hidden="1" x14ac:dyDescent="0.25">
      <c r="A274" s="101" t="s">
        <v>115</v>
      </c>
      <c r="B274" t="s">
        <v>25</v>
      </c>
      <c r="C274" s="102" t="str">
        <f t="shared" si="19"/>
        <v>Fiberfraktion</v>
      </c>
      <c r="D274">
        <f t="shared" si="18"/>
        <v>2050</v>
      </c>
      <c r="E274" s="153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1" t="s">
        <v>115</v>
      </c>
      <c r="B275" t="s">
        <v>25</v>
      </c>
      <c r="C275" s="102" t="str">
        <f t="shared" si="19"/>
        <v>Græsprotein</v>
      </c>
      <c r="D275">
        <f t="shared" si="18"/>
        <v>2050</v>
      </c>
      <c r="E275" s="153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15941.547218520001</v>
      </c>
    </row>
    <row r="276" spans="1:7" hidden="1" x14ac:dyDescent="0.25">
      <c r="A276" s="101" t="s">
        <v>115</v>
      </c>
      <c r="B276" t="s">
        <v>25</v>
      </c>
      <c r="C276" s="102" t="str">
        <f t="shared" si="19"/>
        <v>Slagteriaffald til foder</v>
      </c>
      <c r="D276">
        <f t="shared" si="18"/>
        <v>2050</v>
      </c>
      <c r="E276" s="153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483.79324606189488</v>
      </c>
    </row>
    <row r="277" spans="1:7" hidden="1" x14ac:dyDescent="0.25">
      <c r="A277" s="101" t="s">
        <v>115</v>
      </c>
      <c r="B277" t="s">
        <v>25</v>
      </c>
      <c r="C277" s="102" t="str">
        <f t="shared" si="19"/>
        <v>Import af foder</v>
      </c>
      <c r="D277">
        <f t="shared" si="18"/>
        <v>2050</v>
      </c>
      <c r="E277" s="153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0</v>
      </c>
    </row>
    <row r="278" spans="1:7" hidden="1" x14ac:dyDescent="0.25">
      <c r="A278" t="s">
        <v>123</v>
      </c>
      <c r="B278" t="s">
        <v>24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123</v>
      </c>
      <c r="B279" t="s">
        <v>24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155146.779166311</v>
      </c>
      <c r="F279" s="173">
        <v>1</v>
      </c>
    </row>
    <row r="280" spans="1:7" hidden="1" x14ac:dyDescent="0.25">
      <c r="A280" t="s">
        <v>123</v>
      </c>
      <c r="B280" t="s">
        <v>24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3">
        <v>1</v>
      </c>
    </row>
    <row r="281" spans="1:7" hidden="1" x14ac:dyDescent="0.25">
      <c r="A281" t="s">
        <v>123</v>
      </c>
      <c r="B281" t="s">
        <v>24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3">
        <v>1</v>
      </c>
    </row>
    <row r="282" spans="1:7" hidden="1" x14ac:dyDescent="0.25">
      <c r="A282" t="s">
        <v>123</v>
      </c>
      <c r="B282" t="s">
        <v>24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3">
        <v>1</v>
      </c>
    </row>
    <row r="283" spans="1:7" hidden="1" x14ac:dyDescent="0.25">
      <c r="A283" t="s">
        <v>123</v>
      </c>
      <c r="B283" t="s">
        <v>24</v>
      </c>
      <c r="C283" t="str">
        <f>'Forbrug til andet'!A14</f>
        <v>Bioaffald</v>
      </c>
      <c r="D283">
        <f t="shared" si="20"/>
        <v>2019</v>
      </c>
      <c r="E283" t="e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#REF!</v>
      </c>
      <c r="F283" s="173">
        <v>1</v>
      </c>
    </row>
    <row r="284" spans="1:7" hidden="1" x14ac:dyDescent="0.25">
      <c r="A284" t="s">
        <v>171</v>
      </c>
      <c r="B284" t="s">
        <v>24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3">
        <v>1</v>
      </c>
      <c r="G284">
        <v>1</v>
      </c>
    </row>
    <row r="285" spans="1:7" hidden="1" x14ac:dyDescent="0.25">
      <c r="A285" t="s">
        <v>171</v>
      </c>
      <c r="B285" t="s">
        <v>24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0</v>
      </c>
      <c r="F285" s="173">
        <v>1</v>
      </c>
      <c r="G285" s="173">
        <v>1</v>
      </c>
    </row>
    <row r="286" spans="1:7" hidden="1" x14ac:dyDescent="0.25">
      <c r="A286" t="s">
        <v>171</v>
      </c>
      <c r="B286" t="s">
        <v>24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3">
        <v>1</v>
      </c>
      <c r="G286" s="173">
        <v>1</v>
      </c>
    </row>
    <row r="287" spans="1:7" hidden="1" x14ac:dyDescent="0.25">
      <c r="A287" t="s">
        <v>171</v>
      </c>
      <c r="B287" t="s">
        <v>24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3">
        <v>1</v>
      </c>
      <c r="G287" s="173">
        <v>1</v>
      </c>
    </row>
    <row r="288" spans="1:7" hidden="1" x14ac:dyDescent="0.25">
      <c r="A288" t="s">
        <v>171</v>
      </c>
      <c r="B288" t="s">
        <v>24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3">
        <v>1</v>
      </c>
      <c r="G288" s="173">
        <v>1</v>
      </c>
    </row>
    <row r="289" spans="1:7" hidden="1" x14ac:dyDescent="0.25">
      <c r="A289" t="s">
        <v>171</v>
      </c>
      <c r="B289" t="s">
        <v>24</v>
      </c>
      <c r="C289" t="str">
        <f t="shared" si="21"/>
        <v>Bioaffald</v>
      </c>
      <c r="D289">
        <f t="shared" si="20"/>
        <v>2019</v>
      </c>
      <c r="E289" t="e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#REF!</v>
      </c>
      <c r="F289" s="173">
        <v>1</v>
      </c>
      <c r="G289" s="173">
        <v>1</v>
      </c>
    </row>
    <row r="290" spans="1:7" hidden="1" x14ac:dyDescent="0.25">
      <c r="A290" t="s">
        <v>123</v>
      </c>
      <c r="B290" t="s">
        <v>25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3">
        <v>1</v>
      </c>
    </row>
    <row r="291" spans="1:7" hidden="1" x14ac:dyDescent="0.25">
      <c r="A291" t="s">
        <v>123</v>
      </c>
      <c r="B291" t="s">
        <v>25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61943.722362786721</v>
      </c>
      <c r="F291" s="173">
        <v>1</v>
      </c>
    </row>
    <row r="292" spans="1:7" hidden="1" x14ac:dyDescent="0.25">
      <c r="A292" t="s">
        <v>123</v>
      </c>
      <c r="B292" t="s">
        <v>25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3">
        <v>1</v>
      </c>
    </row>
    <row r="293" spans="1:7" hidden="1" x14ac:dyDescent="0.25">
      <c r="A293" t="s">
        <v>123</v>
      </c>
      <c r="B293" t="s">
        <v>25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3">
        <v>1</v>
      </c>
    </row>
    <row r="294" spans="1:7" hidden="1" x14ac:dyDescent="0.25">
      <c r="A294" t="s">
        <v>123</v>
      </c>
      <c r="B294" t="s">
        <v>25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3">
        <v>1</v>
      </c>
    </row>
    <row r="295" spans="1:7" hidden="1" x14ac:dyDescent="0.25">
      <c r="A295" t="s">
        <v>123</v>
      </c>
      <c r="B295" t="s">
        <v>25</v>
      </c>
      <c r="C295" t="str">
        <f t="shared" si="22"/>
        <v>Bioaffald</v>
      </c>
      <c r="D295">
        <f t="shared" si="20"/>
        <v>2019</v>
      </c>
      <c r="E295" t="e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#REF!</v>
      </c>
      <c r="F295" s="173">
        <v>1</v>
      </c>
    </row>
    <row r="296" spans="1:7" hidden="1" x14ac:dyDescent="0.25">
      <c r="A296" t="s">
        <v>171</v>
      </c>
      <c r="B296" t="s">
        <v>25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3">
        <v>1</v>
      </c>
      <c r="G296" s="173">
        <v>1</v>
      </c>
    </row>
    <row r="297" spans="1:7" hidden="1" x14ac:dyDescent="0.25">
      <c r="A297" t="s">
        <v>171</v>
      </c>
      <c r="B297" t="s">
        <v>25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0</v>
      </c>
      <c r="F297" s="173">
        <v>1</v>
      </c>
      <c r="G297" s="173">
        <v>1</v>
      </c>
    </row>
    <row r="298" spans="1:7" hidden="1" x14ac:dyDescent="0.25">
      <c r="A298" t="s">
        <v>171</v>
      </c>
      <c r="B298" t="s">
        <v>25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3">
        <v>1</v>
      </c>
      <c r="G298" s="173">
        <v>1</v>
      </c>
    </row>
    <row r="299" spans="1:7" hidden="1" x14ac:dyDescent="0.25">
      <c r="A299" t="s">
        <v>171</v>
      </c>
      <c r="B299" t="s">
        <v>25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3">
        <v>1</v>
      </c>
      <c r="G299" s="173">
        <v>1</v>
      </c>
    </row>
    <row r="300" spans="1:7" hidden="1" x14ac:dyDescent="0.25">
      <c r="A300" t="s">
        <v>171</v>
      </c>
      <c r="B300" t="s">
        <v>25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3">
        <v>1</v>
      </c>
      <c r="G300" s="173">
        <v>1</v>
      </c>
    </row>
    <row r="301" spans="1:7" hidden="1" x14ac:dyDescent="0.25">
      <c r="A301" t="s">
        <v>171</v>
      </c>
      <c r="B301" t="s">
        <v>25</v>
      </c>
      <c r="C301" t="str">
        <f t="shared" si="22"/>
        <v>Bioaffald</v>
      </c>
      <c r="D301">
        <f t="shared" si="20"/>
        <v>2019</v>
      </c>
      <c r="E301" t="e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#REF!</v>
      </c>
      <c r="F301" s="173">
        <v>1</v>
      </c>
      <c r="G301" s="173">
        <v>1</v>
      </c>
    </row>
    <row r="302" spans="1:7" hidden="1" x14ac:dyDescent="0.25">
      <c r="A302" t="s">
        <v>123</v>
      </c>
      <c r="B302" t="s">
        <v>24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438645.83957460371</v>
      </c>
      <c r="F302" s="173">
        <v>1</v>
      </c>
    </row>
    <row r="303" spans="1:7" hidden="1" x14ac:dyDescent="0.25">
      <c r="A303" t="s">
        <v>123</v>
      </c>
      <c r="B303" t="s">
        <v>24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97483.163902415676</v>
      </c>
      <c r="F303" s="173">
        <v>1</v>
      </c>
    </row>
    <row r="304" spans="1:7" hidden="1" x14ac:dyDescent="0.25">
      <c r="A304" t="s">
        <v>123</v>
      </c>
      <c r="B304" t="s">
        <v>24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85201.780821949884</v>
      </c>
      <c r="F304" s="173">
        <v>1</v>
      </c>
    </row>
    <row r="305" spans="1:7" hidden="1" x14ac:dyDescent="0.25">
      <c r="A305" t="s">
        <v>123</v>
      </c>
      <c r="B305" t="s">
        <v>24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3">
        <v>1</v>
      </c>
    </row>
    <row r="306" spans="1:7" hidden="1" x14ac:dyDescent="0.25">
      <c r="A306" t="s">
        <v>123</v>
      </c>
      <c r="B306" t="s">
        <v>24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526734.10986839118</v>
      </c>
      <c r="F306" s="173">
        <v>1</v>
      </c>
    </row>
    <row r="307" spans="1:7" hidden="1" x14ac:dyDescent="0.25">
      <c r="A307" t="s">
        <v>123</v>
      </c>
      <c r="B307" t="s">
        <v>24</v>
      </c>
      <c r="C307" t="str">
        <f t="shared" si="22"/>
        <v>Bioaffald</v>
      </c>
      <c r="D307">
        <f t="shared" si="23"/>
        <v>2030</v>
      </c>
      <c r="E307" t="e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#REF!</v>
      </c>
      <c r="F307" s="173">
        <v>1</v>
      </c>
    </row>
    <row r="308" spans="1:7" hidden="1" x14ac:dyDescent="0.25">
      <c r="A308" t="s">
        <v>171</v>
      </c>
      <c r="B308" t="s">
        <v>24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3">
        <v>1</v>
      </c>
      <c r="G308" s="173">
        <v>1</v>
      </c>
    </row>
    <row r="309" spans="1:7" hidden="1" x14ac:dyDescent="0.25">
      <c r="A309" t="s">
        <v>171</v>
      </c>
      <c r="B309" t="s">
        <v>24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3">
        <v>1</v>
      </c>
      <c r="G309" s="173">
        <v>1</v>
      </c>
    </row>
    <row r="310" spans="1:7" hidden="1" x14ac:dyDescent="0.25">
      <c r="A310" t="s">
        <v>171</v>
      </c>
      <c r="B310" t="s">
        <v>24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3">
        <v>1</v>
      </c>
      <c r="G310" s="173">
        <v>1</v>
      </c>
    </row>
    <row r="311" spans="1:7" hidden="1" x14ac:dyDescent="0.25">
      <c r="A311" t="s">
        <v>171</v>
      </c>
      <c r="B311" t="s">
        <v>24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3">
        <v>1</v>
      </c>
      <c r="G311" s="173">
        <v>1</v>
      </c>
    </row>
    <row r="312" spans="1:7" hidden="1" x14ac:dyDescent="0.25">
      <c r="A312" t="s">
        <v>171</v>
      </c>
      <c r="B312" t="s">
        <v>24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3">
        <v>1</v>
      </c>
      <c r="G312" s="173">
        <v>1</v>
      </c>
    </row>
    <row r="313" spans="1:7" hidden="1" x14ac:dyDescent="0.25">
      <c r="A313" t="s">
        <v>171</v>
      </c>
      <c r="B313" t="s">
        <v>24</v>
      </c>
      <c r="C313" t="str">
        <f t="shared" si="22"/>
        <v>Bioaffald</v>
      </c>
      <c r="D313">
        <f t="shared" si="23"/>
        <v>2030</v>
      </c>
      <c r="E313" t="e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#REF!</v>
      </c>
      <c r="F313" s="173">
        <v>1</v>
      </c>
      <c r="G313" s="173">
        <v>1</v>
      </c>
    </row>
    <row r="314" spans="1:7" hidden="1" x14ac:dyDescent="0.25">
      <c r="A314" t="s">
        <v>123</v>
      </c>
      <c r="B314" t="s">
        <v>25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623823.60029063176</v>
      </c>
      <c r="F314" s="173">
        <v>1</v>
      </c>
    </row>
    <row r="315" spans="1:7" hidden="1" x14ac:dyDescent="0.25">
      <c r="A315" t="s">
        <v>123</v>
      </c>
      <c r="B315" t="s">
        <v>25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48466.145483448388</v>
      </c>
      <c r="F315" s="173">
        <v>1</v>
      </c>
    </row>
    <row r="316" spans="1:7" hidden="1" x14ac:dyDescent="0.25">
      <c r="A316" t="s">
        <v>123</v>
      </c>
      <c r="B316" t="s">
        <v>25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26464.763790340134</v>
      </c>
      <c r="F316" s="173">
        <v>1</v>
      </c>
    </row>
    <row r="317" spans="1:7" hidden="1" x14ac:dyDescent="0.25">
      <c r="A317" t="s">
        <v>123</v>
      </c>
      <c r="B317" t="s">
        <v>25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3">
        <v>1</v>
      </c>
    </row>
    <row r="318" spans="1:7" hidden="1" x14ac:dyDescent="0.25">
      <c r="A318" t="s">
        <v>123</v>
      </c>
      <c r="B318" t="s">
        <v>25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456074.89013160887</v>
      </c>
      <c r="F318" s="173">
        <v>1</v>
      </c>
    </row>
    <row r="319" spans="1:7" hidden="1" x14ac:dyDescent="0.25">
      <c r="A319" t="s">
        <v>123</v>
      </c>
      <c r="B319" t="s">
        <v>25</v>
      </c>
      <c r="C319" t="str">
        <f t="shared" si="24"/>
        <v>Bioaffald</v>
      </c>
      <c r="D319">
        <f t="shared" si="23"/>
        <v>2030</v>
      </c>
      <c r="E319" t="e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#REF!</v>
      </c>
      <c r="F319" s="173">
        <v>1</v>
      </c>
    </row>
    <row r="320" spans="1:7" hidden="1" x14ac:dyDescent="0.25">
      <c r="A320" t="s">
        <v>171</v>
      </c>
      <c r="B320" t="s">
        <v>25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3">
        <v>1</v>
      </c>
      <c r="G320" s="173">
        <v>1</v>
      </c>
    </row>
    <row r="321" spans="1:7" hidden="1" x14ac:dyDescent="0.25">
      <c r="A321" t="s">
        <v>171</v>
      </c>
      <c r="B321" t="s">
        <v>25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3">
        <v>1</v>
      </c>
      <c r="G321" s="173">
        <v>1</v>
      </c>
    </row>
    <row r="322" spans="1:7" hidden="1" x14ac:dyDescent="0.25">
      <c r="A322" t="s">
        <v>171</v>
      </c>
      <c r="B322" t="s">
        <v>25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3">
        <v>1</v>
      </c>
      <c r="G322" s="173">
        <v>1</v>
      </c>
    </row>
    <row r="323" spans="1:7" hidden="1" x14ac:dyDescent="0.25">
      <c r="A323" t="s">
        <v>171</v>
      </c>
      <c r="B323" t="s">
        <v>25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3">
        <v>1</v>
      </c>
      <c r="G323" s="173">
        <v>1</v>
      </c>
    </row>
    <row r="324" spans="1:7" hidden="1" x14ac:dyDescent="0.25">
      <c r="A324" t="s">
        <v>171</v>
      </c>
      <c r="B324" t="s">
        <v>25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3">
        <v>1</v>
      </c>
      <c r="G324" s="173">
        <v>1</v>
      </c>
    </row>
    <row r="325" spans="1:7" hidden="1" x14ac:dyDescent="0.25">
      <c r="A325" t="s">
        <v>171</v>
      </c>
      <c r="B325" t="s">
        <v>25</v>
      </c>
      <c r="C325" t="str">
        <f t="shared" si="24"/>
        <v>Bioaffald</v>
      </c>
      <c r="D325">
        <f t="shared" si="23"/>
        <v>2030</v>
      </c>
      <c r="E325" t="e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#REF!</v>
      </c>
      <c r="F325" s="173">
        <v>1</v>
      </c>
      <c r="G325" s="173">
        <v>1</v>
      </c>
    </row>
    <row r="326" spans="1:7" hidden="1" x14ac:dyDescent="0.25">
      <c r="A326" t="s">
        <v>123</v>
      </c>
      <c r="B326" t="s">
        <v>24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103753.18781488619</v>
      </c>
      <c r="F326" s="173">
        <v>1</v>
      </c>
    </row>
    <row r="327" spans="1:7" hidden="1" x14ac:dyDescent="0.25">
      <c r="A327" t="s">
        <v>123</v>
      </c>
      <c r="B327" t="s">
        <v>24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22113.866566287688</v>
      </c>
      <c r="F327" s="173">
        <v>1</v>
      </c>
    </row>
    <row r="328" spans="1:7" hidden="1" x14ac:dyDescent="0.25">
      <c r="A328" t="s">
        <v>123</v>
      </c>
      <c r="B328" t="s">
        <v>24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19775.521846053056</v>
      </c>
      <c r="F328" s="173">
        <v>1</v>
      </c>
    </row>
    <row r="329" spans="1:7" hidden="1" x14ac:dyDescent="0.25">
      <c r="A329" t="s">
        <v>123</v>
      </c>
      <c r="B329" t="s">
        <v>24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2082793.5895249988</v>
      </c>
      <c r="F329" s="173">
        <v>1</v>
      </c>
    </row>
    <row r="330" spans="1:7" hidden="1" x14ac:dyDescent="0.25">
      <c r="A330" t="s">
        <v>123</v>
      </c>
      <c r="B330" t="s">
        <v>24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524881.97503939818</v>
      </c>
      <c r="F330" s="173">
        <v>1</v>
      </c>
    </row>
    <row r="331" spans="1:7" hidden="1" x14ac:dyDescent="0.25">
      <c r="A331" t="s">
        <v>123</v>
      </c>
      <c r="B331" t="s">
        <v>24</v>
      </c>
      <c r="C331" t="str">
        <f t="shared" si="24"/>
        <v>Bioaffald</v>
      </c>
      <c r="D331">
        <f t="shared" si="25"/>
        <v>2050</v>
      </c>
      <c r="E331" t="e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#REF!</v>
      </c>
      <c r="F331" s="173">
        <v>1</v>
      </c>
    </row>
    <row r="332" spans="1:7" hidden="1" x14ac:dyDescent="0.25">
      <c r="A332" t="s">
        <v>171</v>
      </c>
      <c r="B332" t="s">
        <v>24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3">
        <v>1</v>
      </c>
      <c r="G332" s="173">
        <v>1</v>
      </c>
    </row>
    <row r="333" spans="1:7" hidden="1" x14ac:dyDescent="0.25">
      <c r="A333" t="s">
        <v>171</v>
      </c>
      <c r="B333" t="s">
        <v>24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3">
        <v>1</v>
      </c>
      <c r="G333" s="173">
        <v>1</v>
      </c>
    </row>
    <row r="334" spans="1:7" hidden="1" x14ac:dyDescent="0.25">
      <c r="A334" t="s">
        <v>171</v>
      </c>
      <c r="B334" t="s">
        <v>24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3">
        <v>1</v>
      </c>
      <c r="G334" s="173">
        <v>1</v>
      </c>
    </row>
    <row r="335" spans="1:7" hidden="1" x14ac:dyDescent="0.25">
      <c r="A335" t="s">
        <v>171</v>
      </c>
      <c r="B335" t="s">
        <v>24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3">
        <v>1</v>
      </c>
      <c r="G335" s="173">
        <v>1</v>
      </c>
    </row>
    <row r="336" spans="1:7" hidden="1" x14ac:dyDescent="0.25">
      <c r="A336" t="s">
        <v>171</v>
      </c>
      <c r="B336" t="s">
        <v>24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3">
        <v>1</v>
      </c>
      <c r="G336" s="173">
        <v>1</v>
      </c>
    </row>
    <row r="337" spans="1:7" hidden="1" x14ac:dyDescent="0.25">
      <c r="A337" t="s">
        <v>171</v>
      </c>
      <c r="B337" t="s">
        <v>24</v>
      </c>
      <c r="C337" t="str">
        <f t="shared" si="24"/>
        <v>Bioaffald</v>
      </c>
      <c r="D337">
        <f t="shared" si="25"/>
        <v>2050</v>
      </c>
      <c r="E337" t="e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#REF!</v>
      </c>
      <c r="F337" s="173">
        <v>1</v>
      </c>
      <c r="G337" s="173">
        <v>1</v>
      </c>
    </row>
    <row r="338" spans="1:7" hidden="1" x14ac:dyDescent="0.25">
      <c r="A338" t="s">
        <v>123</v>
      </c>
      <c r="B338" t="s">
        <v>25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432905.92040787602</v>
      </c>
      <c r="F338" s="173">
        <v>1</v>
      </c>
    </row>
    <row r="339" spans="1:7" hidden="1" x14ac:dyDescent="0.25">
      <c r="A339" t="s">
        <v>123</v>
      </c>
      <c r="B339" t="s">
        <v>25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27468.785466747777</v>
      </c>
      <c r="F339" s="173">
        <v>1</v>
      </c>
    </row>
    <row r="340" spans="1:7" hidden="1" x14ac:dyDescent="0.25">
      <c r="A340" t="s">
        <v>123</v>
      </c>
      <c r="B340" t="s">
        <v>25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15346.636618106591</v>
      </c>
      <c r="F340" s="173">
        <v>1</v>
      </c>
    </row>
    <row r="341" spans="1:7" hidden="1" x14ac:dyDescent="0.25">
      <c r="A341" t="s">
        <v>123</v>
      </c>
      <c r="B341" t="s">
        <v>25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593911.86485397187</v>
      </c>
      <c r="F341" s="173">
        <v>1</v>
      </c>
    </row>
    <row r="342" spans="1:7" hidden="1" x14ac:dyDescent="0.25">
      <c r="A342" t="s">
        <v>123</v>
      </c>
      <c r="B342" t="s">
        <v>25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457927.02496060182</v>
      </c>
      <c r="F342" s="173">
        <v>1</v>
      </c>
    </row>
    <row r="343" spans="1:7" hidden="1" x14ac:dyDescent="0.25">
      <c r="A343" t="s">
        <v>123</v>
      </c>
      <c r="B343" t="s">
        <v>25</v>
      </c>
      <c r="C343" t="str">
        <f t="shared" si="24"/>
        <v>Bioaffald</v>
      </c>
      <c r="D343">
        <f t="shared" si="25"/>
        <v>2050</v>
      </c>
      <c r="E343" t="e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#REF!</v>
      </c>
      <c r="F343" s="173">
        <v>1</v>
      </c>
    </row>
    <row r="344" spans="1:7" hidden="1" x14ac:dyDescent="0.25">
      <c r="A344" t="s">
        <v>171</v>
      </c>
      <c r="B344" t="s">
        <v>25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3">
        <v>1</v>
      </c>
      <c r="G344" s="173">
        <v>1</v>
      </c>
    </row>
    <row r="345" spans="1:7" hidden="1" x14ac:dyDescent="0.25">
      <c r="A345" t="s">
        <v>171</v>
      </c>
      <c r="B345" t="s">
        <v>25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3">
        <v>1</v>
      </c>
      <c r="G345" s="173">
        <v>1</v>
      </c>
    </row>
    <row r="346" spans="1:7" hidden="1" x14ac:dyDescent="0.25">
      <c r="A346" t="s">
        <v>171</v>
      </c>
      <c r="B346" t="s">
        <v>25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3">
        <v>1</v>
      </c>
      <c r="G346" s="173">
        <v>1</v>
      </c>
    </row>
    <row r="347" spans="1:7" hidden="1" x14ac:dyDescent="0.25">
      <c r="A347" t="s">
        <v>171</v>
      </c>
      <c r="B347" t="s">
        <v>25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3">
        <v>1</v>
      </c>
      <c r="G347" s="173">
        <v>1</v>
      </c>
    </row>
    <row r="348" spans="1:7" hidden="1" x14ac:dyDescent="0.25">
      <c r="A348" t="s">
        <v>171</v>
      </c>
      <c r="B348" t="s">
        <v>25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3">
        <v>1</v>
      </c>
      <c r="G348" s="173">
        <v>1</v>
      </c>
    </row>
    <row r="349" spans="1:7" hidden="1" x14ac:dyDescent="0.25">
      <c r="A349" t="s">
        <v>171</v>
      </c>
      <c r="B349" t="s">
        <v>25</v>
      </c>
      <c r="C349" t="str">
        <f t="shared" si="26"/>
        <v>Bioaffald</v>
      </c>
      <c r="D349">
        <f t="shared" si="25"/>
        <v>2050</v>
      </c>
      <c r="E349" t="e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#REF!</v>
      </c>
      <c r="F349" s="173">
        <v>1</v>
      </c>
      <c r="G349" s="173">
        <v>1</v>
      </c>
    </row>
    <row r="350" spans="1:7" hidden="1" x14ac:dyDescent="0.25">
      <c r="A350" t="s">
        <v>117</v>
      </c>
      <c r="B350" t="s">
        <v>24</v>
      </c>
      <c r="C350" t="s">
        <v>141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117</v>
      </c>
      <c r="B351" t="s">
        <v>24</v>
      </c>
      <c r="C351" t="s">
        <v>142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117</v>
      </c>
      <c r="B352" t="s">
        <v>24</v>
      </c>
      <c r="C352" t="s">
        <v>143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117</v>
      </c>
      <c r="B353" t="s">
        <v>24</v>
      </c>
      <c r="C353" t="s">
        <v>103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117</v>
      </c>
      <c r="B354" t="s">
        <v>24</v>
      </c>
      <c r="C354" t="s">
        <v>113</v>
      </c>
      <c r="D354">
        <f t="shared" si="27"/>
        <v>2019</v>
      </c>
      <c r="E354" t="e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#REF!</v>
      </c>
    </row>
    <row r="355" spans="1:5" hidden="1" x14ac:dyDescent="0.25">
      <c r="A355" t="s">
        <v>117</v>
      </c>
      <c r="B355" t="s">
        <v>24</v>
      </c>
      <c r="C355" t="s">
        <v>118</v>
      </c>
      <c r="D355">
        <f t="shared" si="27"/>
        <v>2019</v>
      </c>
      <c r="E355" t="e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#REF!</v>
      </c>
    </row>
    <row r="356" spans="1:5" hidden="1" x14ac:dyDescent="0.25">
      <c r="A356" t="s">
        <v>117</v>
      </c>
      <c r="B356" t="s">
        <v>24</v>
      </c>
      <c r="C356" t="s">
        <v>141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2164736.0639055003</v>
      </c>
    </row>
    <row r="357" spans="1:5" hidden="1" x14ac:dyDescent="0.25">
      <c r="A357" t="s">
        <v>117</v>
      </c>
      <c r="B357" t="s">
        <v>24</v>
      </c>
      <c r="C357" t="s">
        <v>142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852214.04771503038</v>
      </c>
    </row>
    <row r="358" spans="1:5" hidden="1" x14ac:dyDescent="0.25">
      <c r="A358" t="s">
        <v>117</v>
      </c>
      <c r="B358" t="s">
        <v>24</v>
      </c>
      <c r="C358" t="s">
        <v>143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2050.3574541653115</v>
      </c>
    </row>
    <row r="359" spans="1:5" hidden="1" x14ac:dyDescent="0.25">
      <c r="A359" t="s">
        <v>117</v>
      </c>
      <c r="B359" t="s">
        <v>24</v>
      </c>
      <c r="C359" t="s">
        <v>103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359077.31782061834</v>
      </c>
    </row>
    <row r="360" spans="1:5" hidden="1" x14ac:dyDescent="0.25">
      <c r="A360" t="s">
        <v>117</v>
      </c>
      <c r="B360" t="s">
        <v>24</v>
      </c>
      <c r="C360" t="s">
        <v>113</v>
      </c>
      <c r="D360">
        <f t="shared" si="28"/>
        <v>2030</v>
      </c>
      <c r="E360" t="e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#REF!</v>
      </c>
    </row>
    <row r="361" spans="1:5" hidden="1" x14ac:dyDescent="0.25">
      <c r="A361" t="s">
        <v>117</v>
      </c>
      <c r="B361" t="s">
        <v>24</v>
      </c>
      <c r="C361" t="s">
        <v>118</v>
      </c>
      <c r="D361">
        <f t="shared" si="28"/>
        <v>2030</v>
      </c>
      <c r="E361" t="e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#REF!</v>
      </c>
    </row>
    <row r="362" spans="1:5" hidden="1" x14ac:dyDescent="0.25">
      <c r="A362" t="s">
        <v>117</v>
      </c>
      <c r="B362" t="s">
        <v>24</v>
      </c>
      <c r="C362" t="s">
        <v>141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55454.135403962639</v>
      </c>
    </row>
    <row r="363" spans="1:5" hidden="1" x14ac:dyDescent="0.25">
      <c r="A363" t="s">
        <v>117</v>
      </c>
      <c r="B363" t="s">
        <v>24</v>
      </c>
      <c r="C363" t="s">
        <v>142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121134.88054679664</v>
      </c>
    </row>
    <row r="364" spans="1:5" hidden="1" x14ac:dyDescent="0.25">
      <c r="A364" t="s">
        <v>117</v>
      </c>
      <c r="B364" t="s">
        <v>24</v>
      </c>
      <c r="C364" t="s">
        <v>143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539.16699179429202</v>
      </c>
    </row>
    <row r="365" spans="1:5" hidden="1" x14ac:dyDescent="0.25">
      <c r="A365" t="s">
        <v>117</v>
      </c>
      <c r="B365" t="s">
        <v>24</v>
      </c>
      <c r="C365" t="s">
        <v>103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101403.63851580049</v>
      </c>
    </row>
    <row r="366" spans="1:5" hidden="1" x14ac:dyDescent="0.25">
      <c r="A366" t="s">
        <v>117</v>
      </c>
      <c r="B366" t="s">
        <v>24</v>
      </c>
      <c r="C366" t="s">
        <v>113</v>
      </c>
      <c r="D366">
        <f t="shared" si="29"/>
        <v>2050</v>
      </c>
      <c r="E366" t="e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#REF!</v>
      </c>
    </row>
    <row r="367" spans="1:5" hidden="1" x14ac:dyDescent="0.25">
      <c r="A367" t="s">
        <v>117</v>
      </c>
      <c r="B367" t="s">
        <v>24</v>
      </c>
      <c r="C367" t="s">
        <v>118</v>
      </c>
      <c r="D367">
        <f t="shared" si="29"/>
        <v>2050</v>
      </c>
      <c r="E367" t="e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#REF!</v>
      </c>
    </row>
    <row r="368" spans="1:5" hidden="1" x14ac:dyDescent="0.25">
      <c r="A368" t="s">
        <v>117</v>
      </c>
      <c r="B368" t="s">
        <v>25</v>
      </c>
      <c r="C368" t="s">
        <v>141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117</v>
      </c>
      <c r="B369" t="s">
        <v>25</v>
      </c>
      <c r="C369" t="s">
        <v>142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117</v>
      </c>
      <c r="B370" t="s">
        <v>25</v>
      </c>
      <c r="C370" t="s">
        <v>143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117</v>
      </c>
      <c r="B371" t="s">
        <v>25</v>
      </c>
      <c r="C371" t="s">
        <v>103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117</v>
      </c>
      <c r="B372" t="s">
        <v>25</v>
      </c>
      <c r="C372" t="s">
        <v>113</v>
      </c>
      <c r="D372">
        <f t="shared" si="30"/>
        <v>2019</v>
      </c>
      <c r="E372" t="e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#REF!</v>
      </c>
    </row>
    <row r="373" spans="1:5" hidden="1" x14ac:dyDescent="0.25">
      <c r="A373" t="s">
        <v>117</v>
      </c>
      <c r="B373" t="s">
        <v>25</v>
      </c>
      <c r="C373" t="s">
        <v>118</v>
      </c>
      <c r="D373">
        <f t="shared" si="30"/>
        <v>2019</v>
      </c>
      <c r="E373" t="e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#REF!</v>
      </c>
    </row>
    <row r="374" spans="1:5" hidden="1" x14ac:dyDescent="0.25">
      <c r="A374" t="s">
        <v>117</v>
      </c>
      <c r="B374" t="s">
        <v>25</v>
      </c>
      <c r="C374" t="s">
        <v>141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313664.01064786117</v>
      </c>
    </row>
    <row r="375" spans="1:5" hidden="1" x14ac:dyDescent="0.25">
      <c r="A375" t="s">
        <v>117</v>
      </c>
      <c r="B375" t="s">
        <v>25</v>
      </c>
      <c r="C375" t="s">
        <v>142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60570.269589921976</v>
      </c>
    </row>
    <row r="376" spans="1:5" hidden="1" x14ac:dyDescent="0.25">
      <c r="A376" t="s">
        <v>117</v>
      </c>
      <c r="B376" t="s">
        <v>25</v>
      </c>
      <c r="C376" t="s">
        <v>143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172.0857443157802</v>
      </c>
    </row>
    <row r="377" spans="1:5" hidden="1" x14ac:dyDescent="0.25">
      <c r="A377" t="s">
        <v>117</v>
      </c>
      <c r="B377" t="s">
        <v>25</v>
      </c>
      <c r="C377" t="s">
        <v>103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50298.652566928169</v>
      </c>
    </row>
    <row r="378" spans="1:5" hidden="1" x14ac:dyDescent="0.25">
      <c r="A378" t="s">
        <v>117</v>
      </c>
      <c r="B378" t="s">
        <v>25</v>
      </c>
      <c r="C378" t="s">
        <v>113</v>
      </c>
      <c r="D378">
        <f t="shared" si="31"/>
        <v>2030</v>
      </c>
      <c r="E378" t="e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#REF!</v>
      </c>
    </row>
    <row r="379" spans="1:5" hidden="1" x14ac:dyDescent="0.25">
      <c r="A379" t="s">
        <v>117</v>
      </c>
      <c r="B379" t="s">
        <v>25</v>
      </c>
      <c r="C379" t="s">
        <v>118</v>
      </c>
      <c r="D379">
        <f t="shared" si="31"/>
        <v>2030</v>
      </c>
      <c r="E379" t="e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#REF!</v>
      </c>
    </row>
    <row r="380" spans="1:5" hidden="1" x14ac:dyDescent="0.25">
      <c r="A380" t="s">
        <v>117</v>
      </c>
      <c r="B380" t="s">
        <v>25</v>
      </c>
      <c r="C380" t="s">
        <v>141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8035.1442412961978</v>
      </c>
    </row>
    <row r="381" spans="1:5" hidden="1" x14ac:dyDescent="0.25">
      <c r="A381" t="s">
        <v>117</v>
      </c>
      <c r="B381" t="s">
        <v>25</v>
      </c>
      <c r="C381" t="s">
        <v>142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8609.541688657926</v>
      </c>
    </row>
    <row r="382" spans="1:5" hidden="1" x14ac:dyDescent="0.25">
      <c r="A382" t="s">
        <v>117</v>
      </c>
      <c r="B382" t="s">
        <v>25</v>
      </c>
      <c r="C382" t="s">
        <v>143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45.252086608084781</v>
      </c>
    </row>
    <row r="383" spans="1:5" hidden="1" x14ac:dyDescent="0.25">
      <c r="A383" t="s">
        <v>117</v>
      </c>
      <c r="B383" t="s">
        <v>25</v>
      </c>
      <c r="C383" t="s">
        <v>103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14555.975439556938</v>
      </c>
    </row>
    <row r="384" spans="1:5" hidden="1" x14ac:dyDescent="0.25">
      <c r="A384" t="s">
        <v>117</v>
      </c>
      <c r="B384" t="s">
        <v>25</v>
      </c>
      <c r="C384" t="s">
        <v>113</v>
      </c>
      <c r="D384">
        <f t="shared" si="32"/>
        <v>2050</v>
      </c>
      <c r="E384" t="e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#REF!</v>
      </c>
    </row>
    <row r="385" spans="1:7" hidden="1" x14ac:dyDescent="0.25">
      <c r="A385" t="s">
        <v>117</v>
      </c>
      <c r="B385" t="s">
        <v>25</v>
      </c>
      <c r="C385" t="s">
        <v>118</v>
      </c>
      <c r="D385">
        <f t="shared" si="32"/>
        <v>2050</v>
      </c>
      <c r="E385" t="e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#REF!</v>
      </c>
    </row>
    <row r="386" spans="1:7" hidden="1" x14ac:dyDescent="0.25">
      <c r="A386" t="s">
        <v>219</v>
      </c>
      <c r="B386" t="s">
        <v>24</v>
      </c>
      <c r="C386" t="s">
        <v>52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3">
        <v>1</v>
      </c>
    </row>
    <row r="387" spans="1:7" hidden="1" x14ac:dyDescent="0.25">
      <c r="A387" t="s">
        <v>219</v>
      </c>
      <c r="B387" t="s">
        <v>24</v>
      </c>
      <c r="C387" t="s">
        <v>52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3884618.233807533</v>
      </c>
      <c r="G387" s="173">
        <v>1</v>
      </c>
    </row>
    <row r="388" spans="1:7" hidden="1" x14ac:dyDescent="0.25">
      <c r="A388" t="s">
        <v>219</v>
      </c>
      <c r="B388" t="s">
        <v>24</v>
      </c>
      <c r="C388" t="s">
        <v>52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776923.6467615068</v>
      </c>
      <c r="G388" s="173">
        <v>1</v>
      </c>
    </row>
    <row r="389" spans="1:7" hidden="1" x14ac:dyDescent="0.25">
      <c r="A389" t="s">
        <v>219</v>
      </c>
      <c r="B389" t="s">
        <v>25</v>
      </c>
      <c r="C389" t="s">
        <v>52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3">
        <v>1</v>
      </c>
    </row>
    <row r="390" spans="1:7" hidden="1" x14ac:dyDescent="0.25">
      <c r="A390" t="s">
        <v>219</v>
      </c>
      <c r="B390" t="s">
        <v>25</v>
      </c>
      <c r="C390" t="s">
        <v>52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476802.49130033312</v>
      </c>
      <c r="G390" s="173">
        <v>1</v>
      </c>
    </row>
    <row r="391" spans="1:7" hidden="1" x14ac:dyDescent="0.25">
      <c r="A391" t="s">
        <v>219</v>
      </c>
      <c r="B391" t="s">
        <v>25</v>
      </c>
      <c r="C391" t="s">
        <v>52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95360.498260066641</v>
      </c>
      <c r="G391" s="173">
        <v>1</v>
      </c>
    </row>
    <row r="392" spans="1:7" hidden="1" x14ac:dyDescent="0.25">
      <c r="A392" t="s">
        <v>249</v>
      </c>
      <c r="B392" t="s">
        <v>24</v>
      </c>
      <c r="C392" t="s">
        <v>51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3">
        <v>1</v>
      </c>
    </row>
    <row r="393" spans="1:7" hidden="1" x14ac:dyDescent="0.25">
      <c r="A393" t="s">
        <v>249</v>
      </c>
      <c r="B393" t="s">
        <v>24</v>
      </c>
      <c r="C393" t="s">
        <v>51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304634.88719504897</v>
      </c>
      <c r="G393" s="173">
        <v>1</v>
      </c>
    </row>
    <row r="394" spans="1:7" hidden="1" x14ac:dyDescent="0.25">
      <c r="A394" t="s">
        <v>249</v>
      </c>
      <c r="B394" t="s">
        <v>24</v>
      </c>
      <c r="C394" t="s">
        <v>51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69105.833019649028</v>
      </c>
      <c r="G394" s="173">
        <v>1</v>
      </c>
    </row>
    <row r="395" spans="1:7" hidden="1" x14ac:dyDescent="0.25">
      <c r="A395" t="s">
        <v>249</v>
      </c>
      <c r="B395" t="s">
        <v>25</v>
      </c>
      <c r="C395" t="s">
        <v>51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3">
        <v>1</v>
      </c>
    </row>
    <row r="396" spans="1:7" hidden="1" x14ac:dyDescent="0.25">
      <c r="A396" t="s">
        <v>249</v>
      </c>
      <c r="B396" t="s">
        <v>25</v>
      </c>
      <c r="C396" t="s">
        <v>51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151456.7046357762</v>
      </c>
      <c r="G396" s="173">
        <v>1</v>
      </c>
    </row>
    <row r="397" spans="1:7" hidden="1" x14ac:dyDescent="0.25">
      <c r="A397" t="s">
        <v>249</v>
      </c>
      <c r="B397" t="s">
        <v>25</v>
      </c>
      <c r="C397" t="s">
        <v>51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85839.954583586805</v>
      </c>
      <c r="G397" s="173">
        <v>1</v>
      </c>
    </row>
    <row r="398" spans="1:7" hidden="1" x14ac:dyDescent="0.25">
      <c r="A398" t="s">
        <v>340</v>
      </c>
      <c r="B398" s="173" t="s">
        <v>24</v>
      </c>
      <c r="C398" t="s">
        <v>69</v>
      </c>
      <c r="D398" s="173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3">
        <v>1</v>
      </c>
    </row>
    <row r="399" spans="1:7" hidden="1" x14ac:dyDescent="0.25">
      <c r="A399" s="173" t="s">
        <v>340</v>
      </c>
      <c r="B399" s="173" t="s">
        <v>24</v>
      </c>
      <c r="C399" s="173" t="s">
        <v>69</v>
      </c>
      <c r="D399" s="173">
        <f>År2</f>
        <v>2030</v>
      </c>
      <c r="E399" s="173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3">
        <v>1</v>
      </c>
    </row>
    <row r="400" spans="1:7" hidden="1" x14ac:dyDescent="0.25">
      <c r="A400" s="173" t="s">
        <v>340</v>
      </c>
      <c r="B400" s="173" t="s">
        <v>24</v>
      </c>
      <c r="C400" s="173" t="s">
        <v>69</v>
      </c>
      <c r="D400" s="173">
        <f>År3</f>
        <v>2050</v>
      </c>
      <c r="E400" s="173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3">
        <v>1</v>
      </c>
    </row>
    <row r="401" spans="1:7" hidden="1" x14ac:dyDescent="0.25">
      <c r="A401" s="173" t="s">
        <v>340</v>
      </c>
      <c r="B401" s="173" t="s">
        <v>25</v>
      </c>
      <c r="C401" s="173" t="s">
        <v>69</v>
      </c>
      <c r="D401" s="173">
        <f>År1</f>
        <v>2019</v>
      </c>
      <c r="E401" s="173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3">
        <v>1</v>
      </c>
    </row>
    <row r="402" spans="1:7" hidden="1" x14ac:dyDescent="0.25">
      <c r="A402" s="173" t="s">
        <v>340</v>
      </c>
      <c r="B402" s="173" t="s">
        <v>25</v>
      </c>
      <c r="C402" s="173" t="s">
        <v>69</v>
      </c>
      <c r="D402" s="173">
        <f>År2</f>
        <v>2030</v>
      </c>
      <c r="E402" s="173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3">
        <v>1</v>
      </c>
    </row>
    <row r="403" spans="1:7" hidden="1" x14ac:dyDescent="0.25">
      <c r="A403" s="173" t="s">
        <v>340</v>
      </c>
      <c r="B403" s="173" t="s">
        <v>25</v>
      </c>
      <c r="C403" s="173" t="s">
        <v>69</v>
      </c>
      <c r="D403" s="173">
        <f>År3</f>
        <v>2050</v>
      </c>
      <c r="E403" s="173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3">
        <v>1</v>
      </c>
    </row>
    <row r="404" spans="1:7" hidden="1" x14ac:dyDescent="0.25">
      <c r="A404" s="173" t="s">
        <v>123</v>
      </c>
      <c r="B404" s="173" t="s">
        <v>24</v>
      </c>
      <c r="C404" s="173" t="s">
        <v>336</v>
      </c>
      <c r="D404" s="173">
        <f t="shared" ref="D404:D411" si="33">År1</f>
        <v>2019</v>
      </c>
      <c r="E404" s="173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3">
        <v>1</v>
      </c>
    </row>
    <row r="405" spans="1:7" hidden="1" x14ac:dyDescent="0.25">
      <c r="A405" s="173" t="s">
        <v>123</v>
      </c>
      <c r="B405" s="173" t="s">
        <v>24</v>
      </c>
      <c r="C405" s="173" t="s">
        <v>337</v>
      </c>
      <c r="D405" s="173">
        <f t="shared" si="33"/>
        <v>2019</v>
      </c>
      <c r="E405" s="173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3">
        <v>1</v>
      </c>
    </row>
    <row r="406" spans="1:7" hidden="1" x14ac:dyDescent="0.25">
      <c r="A406" s="173" t="s">
        <v>123</v>
      </c>
      <c r="B406" s="173" t="s">
        <v>24</v>
      </c>
      <c r="C406" s="173" t="s">
        <v>336</v>
      </c>
      <c r="D406" s="173">
        <f>År2</f>
        <v>2030</v>
      </c>
      <c r="E406" s="173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3">
        <v>1</v>
      </c>
    </row>
    <row r="407" spans="1:7" hidden="1" x14ac:dyDescent="0.25">
      <c r="A407" s="173" t="s">
        <v>123</v>
      </c>
      <c r="B407" s="173" t="s">
        <v>24</v>
      </c>
      <c r="C407" s="173" t="s">
        <v>337</v>
      </c>
      <c r="D407" s="173">
        <f>År2</f>
        <v>2030</v>
      </c>
      <c r="E407" s="173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3">
        <v>1</v>
      </c>
    </row>
    <row r="408" spans="1:7" hidden="1" x14ac:dyDescent="0.25">
      <c r="A408" s="173" t="s">
        <v>123</v>
      </c>
      <c r="B408" s="173" t="s">
        <v>24</v>
      </c>
      <c r="C408" s="173" t="s">
        <v>336</v>
      </c>
      <c r="D408" s="173">
        <f>År3</f>
        <v>2050</v>
      </c>
      <c r="E408" s="173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3">
        <v>1</v>
      </c>
    </row>
    <row r="409" spans="1:7" hidden="1" x14ac:dyDescent="0.25">
      <c r="A409" s="173" t="s">
        <v>123</v>
      </c>
      <c r="B409" s="173" t="s">
        <v>24</v>
      </c>
      <c r="C409" s="173" t="s">
        <v>337</v>
      </c>
      <c r="D409" s="173">
        <f>År3</f>
        <v>2050</v>
      </c>
      <c r="E409" s="173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3">
        <v>1</v>
      </c>
    </row>
    <row r="410" spans="1:7" hidden="1" x14ac:dyDescent="0.25">
      <c r="A410" s="173" t="s">
        <v>123</v>
      </c>
      <c r="B410" s="173" t="s">
        <v>25</v>
      </c>
      <c r="C410" s="173" t="s">
        <v>336</v>
      </c>
      <c r="D410" s="173">
        <f t="shared" si="33"/>
        <v>2019</v>
      </c>
      <c r="E410" s="173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3">
        <v>1</v>
      </c>
    </row>
    <row r="411" spans="1:7" hidden="1" x14ac:dyDescent="0.25">
      <c r="A411" s="173" t="s">
        <v>123</v>
      </c>
      <c r="B411" s="173" t="s">
        <v>25</v>
      </c>
      <c r="C411" s="173" t="s">
        <v>337</v>
      </c>
      <c r="D411" s="173">
        <f t="shared" si="33"/>
        <v>2019</v>
      </c>
      <c r="E411" s="173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3">
        <v>1</v>
      </c>
    </row>
    <row r="412" spans="1:7" hidden="1" x14ac:dyDescent="0.25">
      <c r="A412" s="173" t="s">
        <v>123</v>
      </c>
      <c r="B412" s="173" t="s">
        <v>25</v>
      </c>
      <c r="C412" s="173" t="s">
        <v>336</v>
      </c>
      <c r="D412" s="173">
        <f>År2</f>
        <v>2030</v>
      </c>
      <c r="E412" s="173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3">
        <v>1</v>
      </c>
    </row>
    <row r="413" spans="1:7" hidden="1" x14ac:dyDescent="0.25">
      <c r="A413" s="173" t="s">
        <v>123</v>
      </c>
      <c r="B413" s="173" t="s">
        <v>25</v>
      </c>
      <c r="C413" s="173" t="s">
        <v>337</v>
      </c>
      <c r="D413" s="173">
        <f>År2</f>
        <v>2030</v>
      </c>
      <c r="E413" s="173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3">
        <v>1</v>
      </c>
    </row>
    <row r="414" spans="1:7" hidden="1" x14ac:dyDescent="0.25">
      <c r="A414" s="173" t="s">
        <v>123</v>
      </c>
      <c r="B414" s="173" t="s">
        <v>25</v>
      </c>
      <c r="C414" s="173" t="s">
        <v>336</v>
      </c>
      <c r="D414" s="173">
        <f>År3</f>
        <v>2050</v>
      </c>
      <c r="E414" s="173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3">
        <v>1</v>
      </c>
    </row>
    <row r="415" spans="1:7" hidden="1" x14ac:dyDescent="0.25">
      <c r="A415" s="173" t="s">
        <v>123</v>
      </c>
      <c r="B415" s="173" t="s">
        <v>25</v>
      </c>
      <c r="C415" s="173" t="s">
        <v>337</v>
      </c>
      <c r="D415" s="173">
        <f>År3</f>
        <v>2050</v>
      </c>
      <c r="E415" s="173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3">
        <v>1</v>
      </c>
    </row>
  </sheetData>
  <autoFilter ref="A1:G415" xr:uid="{9891F61F-9FCA-417C-BBAD-AB47A8A15D61}">
    <filterColumn colId="2">
      <filters>
        <filter val="Æg"/>
      </filters>
    </filterColumn>
    <filterColumn colId="3">
      <filters>
        <filter val="2019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78</v>
      </c>
      <c r="E1" t="s">
        <v>172</v>
      </c>
      <c r="F1" t="s">
        <v>199</v>
      </c>
      <c r="G1" t="s">
        <v>173</v>
      </c>
      <c r="H1" t="s">
        <v>240</v>
      </c>
    </row>
    <row r="2" spans="1:8" x14ac:dyDescent="0.25">
      <c r="A2" t="str">
        <f>'Forbrug til andet'!A9</f>
        <v>Halm</v>
      </c>
      <c r="B2" t="s">
        <v>24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24</v>
      </c>
      <c r="C3">
        <f t="shared" si="0"/>
        <v>2019</v>
      </c>
      <c r="D3" s="173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24</v>
      </c>
      <c r="C4">
        <f t="shared" si="0"/>
        <v>2019</v>
      </c>
      <c r="D4" s="173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24</v>
      </c>
      <c r="C5">
        <f t="shared" si="0"/>
        <v>2019</v>
      </c>
      <c r="D5" s="173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24</v>
      </c>
      <c r="C6">
        <f t="shared" si="0"/>
        <v>2019</v>
      </c>
      <c r="D6" s="173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24</v>
      </c>
      <c r="C7">
        <f t="shared" si="0"/>
        <v>2019</v>
      </c>
      <c r="D7" s="173" t="e">
        <f ca="1">SUMIFS('Forbrug af biomasse'!E:E,'Forbrug af biomasse'!F:F,"",'Forbrug af biomasse'!B:B,Restprodukter!$B7,'Forbrug af biomasse'!C:C,Restprodukter!$A7,'Forbrug af biomasse'!D:D,Restprodukter!$C7)</f>
        <v>#REF!</v>
      </c>
      <c r="E7" t="e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#REF!</v>
      </c>
      <c r="F7" t="e">
        <f t="shared" ca="1" si="2"/>
        <v>#REF!</v>
      </c>
      <c r="G7" t="e">
        <f t="shared" ca="1" si="3"/>
        <v>#REF!</v>
      </c>
      <c r="H7" t="e">
        <f t="shared" ca="1" si="1"/>
        <v>#REF!</v>
      </c>
    </row>
    <row r="8" spans="1:8" x14ac:dyDescent="0.25">
      <c r="A8" t="str">
        <f t="shared" ref="A8:A37" si="4">A2</f>
        <v>Halm</v>
      </c>
      <c r="B8" t="s">
        <v>25</v>
      </c>
      <c r="C8">
        <f t="shared" si="0"/>
        <v>2019</v>
      </c>
      <c r="D8" s="173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25</v>
      </c>
      <c r="C9">
        <f t="shared" si="0"/>
        <v>2019</v>
      </c>
      <c r="D9" s="173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25</v>
      </c>
      <c r="C10">
        <f t="shared" si="0"/>
        <v>2019</v>
      </c>
      <c r="D10" s="173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25</v>
      </c>
      <c r="C11">
        <f t="shared" si="0"/>
        <v>2019</v>
      </c>
      <c r="D11" s="173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25</v>
      </c>
      <c r="C12">
        <f t="shared" si="0"/>
        <v>2019</v>
      </c>
      <c r="D12" s="173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25</v>
      </c>
      <c r="C13">
        <f t="shared" si="0"/>
        <v>2019</v>
      </c>
      <c r="D13" s="173" t="e">
        <f ca="1">SUMIFS('Forbrug af biomasse'!E:E,'Forbrug af biomasse'!F:F,"",'Forbrug af biomasse'!B:B,Restprodukter!$B13,'Forbrug af biomasse'!C:C,Restprodukter!$A13,'Forbrug af biomasse'!D:D,Restprodukter!$C13)</f>
        <v>#REF!</v>
      </c>
      <c r="E13" t="e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#REF!</v>
      </c>
      <c r="F13" t="e">
        <f ca="1">E13-D13</f>
        <v>#REF!</v>
      </c>
      <c r="G13" t="e">
        <f t="shared" ca="1" si="3"/>
        <v>#REF!</v>
      </c>
      <c r="H13" t="e">
        <f t="shared" ca="1" si="1"/>
        <v>#REF!</v>
      </c>
    </row>
    <row r="14" spans="1:8" x14ac:dyDescent="0.25">
      <c r="A14" t="str">
        <f t="shared" si="4"/>
        <v>Halm</v>
      </c>
      <c r="B14" t="s">
        <v>24</v>
      </c>
      <c r="C14">
        <f t="shared" ref="C14:C25" si="5">År2</f>
        <v>2030</v>
      </c>
      <c r="D14" s="173">
        <f>SUMIFS('Forbrug af biomasse'!E:E,'Forbrug af biomasse'!F:F,"",'Forbrug af biomasse'!B:B,Restprodukter!$B14,'Forbrug af biomasse'!C:C,Restprodukter!$A14,'Forbrug af biomasse'!D:D,Restprodukter!$C14)</f>
        <v>386542.94677146303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825188.78634606674</v>
      </c>
      <c r="F14">
        <f>E14-D14</f>
        <v>438645.83957460371</v>
      </c>
      <c r="G14">
        <f t="shared" si="3"/>
        <v>438645.83957460371</v>
      </c>
      <c r="H14">
        <f t="shared" si="1"/>
        <v>623823.60029063176</v>
      </c>
    </row>
    <row r="15" spans="1:8" x14ac:dyDescent="0.25">
      <c r="A15" t="str">
        <f t="shared" si="4"/>
        <v>Rapsolie</v>
      </c>
      <c r="B15" t="s">
        <v>24</v>
      </c>
      <c r="C15">
        <f t="shared" si="5"/>
        <v>2030</v>
      </c>
      <c r="D15" s="173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97483.163902415676</v>
      </c>
      <c r="F15">
        <f t="shared" si="2"/>
        <v>97483.163902415676</v>
      </c>
      <c r="G15">
        <f t="shared" si="3"/>
        <v>97483.163902415676</v>
      </c>
      <c r="H15">
        <f t="shared" si="1"/>
        <v>48466.145483448388</v>
      </c>
    </row>
    <row r="16" spans="1:8" x14ac:dyDescent="0.25">
      <c r="A16" t="str">
        <f t="shared" si="4"/>
        <v>Pil &amp; poppel</v>
      </c>
      <c r="B16" t="s">
        <v>24</v>
      </c>
      <c r="C16">
        <f t="shared" si="5"/>
        <v>2030</v>
      </c>
      <c r="D16" s="173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85201.780821949884</v>
      </c>
      <c r="F16">
        <f t="shared" si="2"/>
        <v>85201.780821949884</v>
      </c>
      <c r="G16">
        <f t="shared" si="3"/>
        <v>85201.780821949884</v>
      </c>
      <c r="H16">
        <f t="shared" si="1"/>
        <v>26464.763790340134</v>
      </c>
    </row>
    <row r="17" spans="1:8" x14ac:dyDescent="0.25">
      <c r="A17" t="str">
        <f t="shared" si="4"/>
        <v>Træ til energi</v>
      </c>
      <c r="B17" t="s">
        <v>24</v>
      </c>
      <c r="C17">
        <f t="shared" si="5"/>
        <v>2030</v>
      </c>
      <c r="D17" s="173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24</v>
      </c>
      <c r="C18">
        <f t="shared" si="5"/>
        <v>2030</v>
      </c>
      <c r="D18" s="173">
        <f>SUMIFS('Forbrug af biomasse'!E:E,'Forbrug af biomasse'!F:F,"",'Forbrug af biomasse'!B:B,Restprodukter!$B18,'Forbrug af biomasse'!C:C,Restprodukter!$A18,'Forbrug af biomasse'!D:D,Restprodukter!$C18)</f>
        <v>0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526734.10986839118</v>
      </c>
      <c r="G18">
        <f t="shared" si="3"/>
        <v>526734.10986839118</v>
      </c>
      <c r="H18">
        <f t="shared" si="1"/>
        <v>456074.89013160887</v>
      </c>
    </row>
    <row r="19" spans="1:8" x14ac:dyDescent="0.25">
      <c r="A19" t="str">
        <f t="shared" si="4"/>
        <v>Bioaffald</v>
      </c>
      <c r="B19" t="s">
        <v>24</v>
      </c>
      <c r="C19">
        <f t="shared" si="5"/>
        <v>2030</v>
      </c>
      <c r="D19" s="173" t="e">
        <f ca="1">SUMIFS('Forbrug af biomasse'!E:E,'Forbrug af biomasse'!F:F,"",'Forbrug af biomasse'!B:B,Restprodukter!$B19,'Forbrug af biomasse'!C:C,Restprodukter!$A19,'Forbrug af biomasse'!D:D,Restprodukter!$C19)</f>
        <v>#REF!</v>
      </c>
      <c r="E19" t="e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#REF!</v>
      </c>
      <c r="F19" t="e">
        <f t="shared" ca="1" si="2"/>
        <v>#REF!</v>
      </c>
      <c r="G19" t="e">
        <f t="shared" ca="1" si="3"/>
        <v>#REF!</v>
      </c>
      <c r="H19" t="e">
        <f t="shared" ca="1" si="1"/>
        <v>#REF!</v>
      </c>
    </row>
    <row r="20" spans="1:8" x14ac:dyDescent="0.25">
      <c r="A20" t="str">
        <f t="shared" si="4"/>
        <v>Halm</v>
      </c>
      <c r="B20" t="s">
        <v>25</v>
      </c>
      <c r="C20">
        <f t="shared" si="5"/>
        <v>2030</v>
      </c>
      <c r="D20" s="173">
        <f>SUMIFS('Forbrug af biomasse'!E:E,'Forbrug af biomasse'!F:F,"",'Forbrug af biomasse'!B:B,Restprodukter!$B20,'Forbrug af biomasse'!C:C,Restprodukter!$A20,'Forbrug af biomasse'!D:D,Restprodukter!$C20)</f>
        <v>47444.724017206274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671268.32430783799</v>
      </c>
      <c r="F20">
        <f t="shared" si="2"/>
        <v>623823.60029063176</v>
      </c>
      <c r="G20">
        <f t="shared" si="3"/>
        <v>623823.60029063176</v>
      </c>
      <c r="H20">
        <f t="shared" si="1"/>
        <v>438645.83957460371</v>
      </c>
    </row>
    <row r="21" spans="1:8" x14ac:dyDescent="0.25">
      <c r="A21" t="str">
        <f t="shared" si="4"/>
        <v>Rapsolie</v>
      </c>
      <c r="B21" t="s">
        <v>25</v>
      </c>
      <c r="C21">
        <f t="shared" si="5"/>
        <v>2030</v>
      </c>
      <c r="D21" s="173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48466.145483448388</v>
      </c>
      <c r="F21">
        <f t="shared" si="2"/>
        <v>48466.145483448388</v>
      </c>
      <c r="G21">
        <f t="shared" si="3"/>
        <v>48466.145483448388</v>
      </c>
      <c r="H21">
        <f t="shared" si="1"/>
        <v>97483.163902415676</v>
      </c>
    </row>
    <row r="22" spans="1:8" x14ac:dyDescent="0.25">
      <c r="A22" t="str">
        <f t="shared" si="4"/>
        <v>Pil &amp; poppel</v>
      </c>
      <c r="B22" t="s">
        <v>25</v>
      </c>
      <c r="C22">
        <f t="shared" si="5"/>
        <v>2030</v>
      </c>
      <c r="D22" s="173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26464.763790340134</v>
      </c>
      <c r="F22">
        <f t="shared" si="2"/>
        <v>26464.763790340134</v>
      </c>
      <c r="G22">
        <f t="shared" si="3"/>
        <v>26464.763790340134</v>
      </c>
      <c r="H22">
        <f t="shared" si="1"/>
        <v>85201.780821949884</v>
      </c>
    </row>
    <row r="23" spans="1:8" x14ac:dyDescent="0.25">
      <c r="A23" t="str">
        <f t="shared" si="4"/>
        <v>Træ til energi</v>
      </c>
      <c r="B23" t="s">
        <v>25</v>
      </c>
      <c r="C23">
        <f t="shared" si="5"/>
        <v>2030</v>
      </c>
      <c r="D23" s="173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25</v>
      </c>
      <c r="C24">
        <f t="shared" si="5"/>
        <v>2030</v>
      </c>
      <c r="D24" s="173">
        <f>SUMIFS('Forbrug af biomasse'!E:E,'Forbrug af biomasse'!F:F,"",'Forbrug af biomasse'!B:B,Restprodukter!$B24,'Forbrug af biomasse'!C:C,Restprodukter!$A24,'Forbrug af biomasse'!D:D,Restprodukter!$C24)</f>
        <v>0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456074.89013160887</v>
      </c>
      <c r="G24">
        <f t="shared" si="3"/>
        <v>456074.89013160887</v>
      </c>
      <c r="H24">
        <f t="shared" si="1"/>
        <v>526734.10986839118</v>
      </c>
    </row>
    <row r="25" spans="1:8" x14ac:dyDescent="0.25">
      <c r="A25" t="str">
        <f t="shared" si="4"/>
        <v>Bioaffald</v>
      </c>
      <c r="B25" t="s">
        <v>25</v>
      </c>
      <c r="C25">
        <f t="shared" si="5"/>
        <v>2030</v>
      </c>
      <c r="D25" s="173" t="e">
        <f ca="1">SUMIFS('Forbrug af biomasse'!E:E,'Forbrug af biomasse'!F:F,"",'Forbrug af biomasse'!B:B,Restprodukter!$B25,'Forbrug af biomasse'!C:C,Restprodukter!$A25,'Forbrug af biomasse'!D:D,Restprodukter!$C25)</f>
        <v>#REF!</v>
      </c>
      <c r="E25" t="e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#REF!</v>
      </c>
      <c r="F25" t="e">
        <f t="shared" ca="1" si="2"/>
        <v>#REF!</v>
      </c>
      <c r="G25" t="e">
        <f t="shared" ca="1" si="3"/>
        <v>#REF!</v>
      </c>
      <c r="H25" t="e">
        <f t="shared" ca="1" si="1"/>
        <v>#REF!</v>
      </c>
    </row>
    <row r="26" spans="1:8" x14ac:dyDescent="0.25">
      <c r="A26" t="str">
        <f t="shared" si="4"/>
        <v>Halm</v>
      </c>
      <c r="B26" t="s">
        <v>24</v>
      </c>
      <c r="C26">
        <f t="shared" ref="C26:C37" si="6">År3</f>
        <v>2050</v>
      </c>
      <c r="D26" s="173">
        <f>SUMIFS('Forbrug af biomasse'!E:E,'Forbrug af biomasse'!F:F,"",'Forbrug af biomasse'!B:B,Restprodukter!$B26,'Forbrug af biomasse'!C:C,Restprodukter!$A26,'Forbrug af biomasse'!D:D,Restprodukter!$C26)</f>
        <v>77308.589354292635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181061.77716917882</v>
      </c>
      <c r="F26">
        <f t="shared" si="2"/>
        <v>103753.18781488619</v>
      </c>
      <c r="G26">
        <f t="shared" si="3"/>
        <v>103753.18781488619</v>
      </c>
      <c r="H26">
        <f t="shared" si="1"/>
        <v>432905.92040787602</v>
      </c>
    </row>
    <row r="27" spans="1:8" x14ac:dyDescent="0.25">
      <c r="A27" t="str">
        <f t="shared" si="4"/>
        <v>Rapsolie</v>
      </c>
      <c r="B27" t="s">
        <v>24</v>
      </c>
      <c r="C27">
        <f t="shared" si="6"/>
        <v>2050</v>
      </c>
      <c r="D27" s="173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22113.866566287688</v>
      </c>
      <c r="F27">
        <f t="shared" si="2"/>
        <v>22113.866566287688</v>
      </c>
      <c r="G27">
        <f t="shared" si="3"/>
        <v>22113.866566287688</v>
      </c>
      <c r="H27">
        <f t="shared" si="1"/>
        <v>27468.785466747777</v>
      </c>
    </row>
    <row r="28" spans="1:8" x14ac:dyDescent="0.25">
      <c r="A28" t="str">
        <f t="shared" si="4"/>
        <v>Pil &amp; poppel</v>
      </c>
      <c r="B28" t="s">
        <v>24</v>
      </c>
      <c r="C28">
        <f t="shared" si="6"/>
        <v>2050</v>
      </c>
      <c r="D28" s="173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19775.521846053056</v>
      </c>
      <c r="F28">
        <f t="shared" si="2"/>
        <v>19775.521846053056</v>
      </c>
      <c r="G28">
        <f t="shared" si="3"/>
        <v>19775.521846053056</v>
      </c>
      <c r="H28">
        <f t="shared" si="1"/>
        <v>15346.636618106591</v>
      </c>
    </row>
    <row r="29" spans="1:8" x14ac:dyDescent="0.25">
      <c r="A29" t="str">
        <f t="shared" si="4"/>
        <v>Træ til energi</v>
      </c>
      <c r="B29" t="s">
        <v>24</v>
      </c>
      <c r="C29">
        <f t="shared" si="6"/>
        <v>2050</v>
      </c>
      <c r="D29" s="173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2082793.5895249988</v>
      </c>
      <c r="F29">
        <f t="shared" si="2"/>
        <v>2082793.5895249988</v>
      </c>
      <c r="G29">
        <f t="shared" si="3"/>
        <v>2082793.5895249988</v>
      </c>
      <c r="H29">
        <f t="shared" si="1"/>
        <v>593911.86485397187</v>
      </c>
    </row>
    <row r="30" spans="1:8" x14ac:dyDescent="0.25">
      <c r="A30" t="str">
        <f t="shared" si="4"/>
        <v>Have/parkaffald</v>
      </c>
      <c r="B30" t="s">
        <v>24</v>
      </c>
      <c r="C30">
        <f t="shared" si="6"/>
        <v>2050</v>
      </c>
      <c r="D30" s="173">
        <f>SUMIFS('Forbrug af biomasse'!E:E,'Forbrug af biomasse'!F:F,"",'Forbrug af biomasse'!B:B,Restprodukter!$B30,'Forbrug af biomasse'!C:C,Restprodukter!$A30,'Forbrug af biomasse'!D:D,Restprodukter!$C30)</f>
        <v>0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524881.97503939818</v>
      </c>
      <c r="G30">
        <f t="shared" si="3"/>
        <v>524881.97503939818</v>
      </c>
      <c r="H30">
        <f t="shared" si="1"/>
        <v>457927.02496060182</v>
      </c>
    </row>
    <row r="31" spans="1:8" x14ac:dyDescent="0.25">
      <c r="A31" t="str">
        <f t="shared" si="4"/>
        <v>Bioaffald</v>
      </c>
      <c r="B31" t="s">
        <v>24</v>
      </c>
      <c r="C31">
        <f t="shared" si="6"/>
        <v>2050</v>
      </c>
      <c r="D31" s="173" t="e">
        <f ca="1">SUMIFS('Forbrug af biomasse'!E:E,'Forbrug af biomasse'!F:F,"",'Forbrug af biomasse'!B:B,Restprodukter!$B31,'Forbrug af biomasse'!C:C,Restprodukter!$A31,'Forbrug af biomasse'!D:D,Restprodukter!$C31)</f>
        <v>#REF!</v>
      </c>
      <c r="E31" t="e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#REF!</v>
      </c>
      <c r="F31" t="e">
        <f t="shared" ca="1" si="2"/>
        <v>#REF!</v>
      </c>
      <c r="G31" t="e">
        <f t="shared" ca="1" si="3"/>
        <v>#REF!</v>
      </c>
      <c r="H31" t="e">
        <f t="shared" ca="1" si="1"/>
        <v>#REF!</v>
      </c>
    </row>
    <row r="32" spans="1:8" x14ac:dyDescent="0.25">
      <c r="A32" t="str">
        <f t="shared" si="4"/>
        <v>Halm</v>
      </c>
      <c r="B32" t="s">
        <v>25</v>
      </c>
      <c r="C32">
        <f t="shared" si="6"/>
        <v>2050</v>
      </c>
      <c r="D32" s="173">
        <f>SUMIFS('Forbrug af biomasse'!E:E,'Forbrug af biomasse'!F:F,"",'Forbrug af biomasse'!B:B,Restprodukter!$B32,'Forbrug af biomasse'!C:C,Restprodukter!$A32,'Forbrug af biomasse'!D:D,Restprodukter!$C32)</f>
        <v>9488.9448034412562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442394.86521131726</v>
      </c>
      <c r="F32">
        <f t="shared" si="2"/>
        <v>432905.92040787602</v>
      </c>
      <c r="G32">
        <f t="shared" si="3"/>
        <v>432905.92040787602</v>
      </c>
      <c r="H32">
        <f t="shared" si="1"/>
        <v>103753.18781488619</v>
      </c>
    </row>
    <row r="33" spans="1:8" x14ac:dyDescent="0.25">
      <c r="A33" t="str">
        <f t="shared" si="4"/>
        <v>Rapsolie</v>
      </c>
      <c r="B33" t="s">
        <v>25</v>
      </c>
      <c r="C33">
        <f t="shared" si="6"/>
        <v>2050</v>
      </c>
      <c r="D33" s="173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27468.785466747777</v>
      </c>
      <c r="F33">
        <f t="shared" si="2"/>
        <v>27468.785466747777</v>
      </c>
      <c r="G33">
        <f t="shared" si="3"/>
        <v>27468.785466747777</v>
      </c>
      <c r="H33">
        <f t="shared" si="1"/>
        <v>22113.866566287688</v>
      </c>
    </row>
    <row r="34" spans="1:8" x14ac:dyDescent="0.25">
      <c r="A34" t="str">
        <f t="shared" si="4"/>
        <v>Pil &amp; poppel</v>
      </c>
      <c r="B34" t="s">
        <v>25</v>
      </c>
      <c r="C34">
        <f t="shared" si="6"/>
        <v>2050</v>
      </c>
      <c r="D34" s="173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15346.636618106591</v>
      </c>
      <c r="F34">
        <f t="shared" si="2"/>
        <v>15346.636618106591</v>
      </c>
      <c r="G34">
        <f t="shared" si="3"/>
        <v>15346.636618106591</v>
      </c>
      <c r="H34">
        <f t="shared" si="1"/>
        <v>19775.521846053056</v>
      </c>
    </row>
    <row r="35" spans="1:8" x14ac:dyDescent="0.25">
      <c r="A35" t="str">
        <f t="shared" si="4"/>
        <v>Træ til energi</v>
      </c>
      <c r="B35" t="s">
        <v>25</v>
      </c>
      <c r="C35">
        <f t="shared" si="6"/>
        <v>2050</v>
      </c>
      <c r="D35" s="173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593911.86485397187</v>
      </c>
      <c r="F35">
        <f t="shared" si="2"/>
        <v>593911.86485397187</v>
      </c>
      <c r="G35">
        <f t="shared" si="3"/>
        <v>593911.86485397187</v>
      </c>
      <c r="H35">
        <f t="shared" si="1"/>
        <v>2082793.5895249988</v>
      </c>
    </row>
    <row r="36" spans="1:8" x14ac:dyDescent="0.25">
      <c r="A36" t="str">
        <f t="shared" si="4"/>
        <v>Have/parkaffald</v>
      </c>
      <c r="B36" t="s">
        <v>25</v>
      </c>
      <c r="C36">
        <f t="shared" si="6"/>
        <v>2050</v>
      </c>
      <c r="D36" s="173">
        <f>SUMIFS('Forbrug af biomasse'!E:E,'Forbrug af biomasse'!F:F,"",'Forbrug af biomasse'!B:B,Restprodukter!$B36,'Forbrug af biomasse'!C:C,Restprodukter!$A36,'Forbrug af biomasse'!D:D,Restprodukter!$C36)</f>
        <v>0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457927.02496060182</v>
      </c>
      <c r="G36">
        <f t="shared" si="3"/>
        <v>457927.02496060182</v>
      </c>
      <c r="H36">
        <f t="shared" si="1"/>
        <v>524881.97503939818</v>
      </c>
    </row>
    <row r="37" spans="1:8" x14ac:dyDescent="0.25">
      <c r="A37" t="str">
        <f t="shared" si="4"/>
        <v>Bioaffald</v>
      </c>
      <c r="B37" t="s">
        <v>25</v>
      </c>
      <c r="C37">
        <f t="shared" si="6"/>
        <v>2050</v>
      </c>
      <c r="D37" s="173" t="e">
        <f ca="1">SUMIFS('Forbrug af biomasse'!E:E,'Forbrug af biomasse'!F:F,"",'Forbrug af biomasse'!B:B,Restprodukter!$B37,'Forbrug af biomasse'!C:C,Restprodukter!$A37,'Forbrug af biomasse'!D:D,Restprodukter!$C37)</f>
        <v>#REF!</v>
      </c>
      <c r="E37" t="e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#REF!</v>
      </c>
      <c r="F37" t="e">
        <f t="shared" ca="1" si="2"/>
        <v>#REF!</v>
      </c>
      <c r="G37" t="e">
        <f t="shared" ca="1" si="3"/>
        <v>#REF!</v>
      </c>
      <c r="H37" t="e">
        <f t="shared" ca="1" si="1"/>
        <v>#REF!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 filterMode="1">
    <tabColor rgb="FFFF0000"/>
  </sheetPr>
  <dimension ref="A1:U480"/>
  <sheetViews>
    <sheetView zoomScale="81" workbookViewId="0">
      <selection activeCell="H78" sqref="H78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x14ac:dyDescent="0.25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hidden="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3">
        <f>SUMIF($F$3:$F$472,"Roer",I3:I472)</f>
        <v>244501.84634790485</v>
      </c>
      <c r="O3" s="173">
        <f>SUMIF($F$3:$F$472,"Roer",J3:J472)</f>
        <v>56749.419521612363</v>
      </c>
    </row>
    <row r="4" spans="1:21" hidden="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 t="e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#REF!</v>
      </c>
      <c r="I4" s="321" t="e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#REF!</v>
      </c>
      <c r="J4" s="322" t="e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#REF!</v>
      </c>
      <c r="N4" s="173"/>
      <c r="O4" s="173"/>
    </row>
    <row r="5" spans="1:21" hidden="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3" customFormat="1" hidden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hidden="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hidden="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hidden="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hidden="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hidden="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hidden="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hidden="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hidden="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hidden="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hidden="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-1121677.3668686543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-1220310.4397562887</v>
      </c>
    </row>
    <row r="17" spans="1:10" hidden="1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hidden="1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hidden="1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-246769.02071110389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-2684682.9674638347</v>
      </c>
    </row>
    <row r="20" spans="1:10" hidden="1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hidden="1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hidden="1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-6281393.2544644633</v>
      </c>
    </row>
    <row r="23" spans="1:10" hidden="1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85658.9854201259</v>
      </c>
    </row>
    <row r="24" spans="1:10" hidden="1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44747.231189618004</v>
      </c>
    </row>
    <row r="25" spans="1:10" hidden="1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-650572.87278381933</v>
      </c>
    </row>
    <row r="26" spans="1:10" hidden="1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hidden="1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hidden="1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hidden="1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hidden="1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hidden="1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hidden="1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hidden="1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hidden="1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hidden="1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hidden="1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hidden="1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hidden="1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hidden="1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hidden="1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hidden="1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hidden="1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hidden="1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hidden="1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hidden="1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hidden="1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hidden="1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hidden="1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hidden="1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hidden="1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hidden="1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hidden="1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hidden="1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hidden="1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hidden="1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hidden="1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hidden="1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hidden="1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hidden="1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hidden="1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hidden="1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hidden="1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hidden="1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hidden="1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hidden="1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hidden="1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hidden="1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hidden="1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hidden="1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hidden="1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hidden="1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hidden="1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hidden="1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hidden="1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4269578.9725243608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109373.98531307207</v>
      </c>
    </row>
    <row r="75" spans="1:10" hidden="1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4605821.4125648942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117987.52213609075</v>
      </c>
    </row>
    <row r="76" spans="1:10" hidden="1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590433.0728515964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15125.149026167606</v>
      </c>
    </row>
    <row r="77" spans="1:10" hidden="1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48260.099629293836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1236.281015535581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-2634958666.983674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-67499847.736234844</v>
      </c>
    </row>
    <row r="79" spans="1:10" hidden="1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-202364.52993188234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-5183.9807313764695</v>
      </c>
    </row>
    <row r="80" spans="1:10" hidden="1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345049.97760045726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8839.1598856022647</v>
      </c>
    </row>
    <row r="81" spans="1:10" hidden="1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1082850.7419691866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470433.02374765993</v>
      </c>
    </row>
    <row r="82" spans="1:10" hidden="1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hidden="1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1173724.5574036343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509912.1893587691</v>
      </c>
    </row>
    <row r="84" spans="1:10" hidden="1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35897.289473938028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15595.196805110794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-1959960189.621326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-851483923.5847652</v>
      </c>
    </row>
    <row r="86" spans="1:10" hidden="1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-132310.54385382487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-57480.912933264983</v>
      </c>
    </row>
    <row r="87" spans="1:10" hidden="1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282324.21661887813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122652.76252171374</v>
      </c>
    </row>
    <row r="88" spans="1:10" hidden="1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112077.75682490251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-1794.3525719329191</v>
      </c>
    </row>
    <row r="89" spans="1:10" hidden="1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3252315.3878456443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-52069.212002833265</v>
      </c>
    </row>
    <row r="90" spans="1:10" hidden="1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63736.27496606348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-1020.4107590184117</v>
      </c>
    </row>
    <row r="91" spans="1:10" hidden="1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1217440.1819427675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-19491.083543511009</v>
      </c>
    </row>
    <row r="92" spans="1:10" hidden="1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13869.088127711799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-222.0425770226922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-843820333.85928595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13509470.828142811</v>
      </c>
    </row>
    <row r="94" spans="1:10" hidden="1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-3529.3478440638582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56.504471187228333</v>
      </c>
    </row>
    <row r="95" spans="1:10" hidden="1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912704.80248495762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-14612.30360198044</v>
      </c>
    </row>
    <row r="96" spans="1:10" hidden="1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39000.395833554459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15061.935211783726</v>
      </c>
    </row>
    <row r="97" spans="1:10" hidden="1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2107521.3902363083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813923.80663677445</v>
      </c>
    </row>
    <row r="98" spans="1:10" hidden="1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17400.176602662759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6719.9403252573547</v>
      </c>
    </row>
    <row r="99" spans="1:10" hidden="1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805008.17041054706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310893.7909098948</v>
      </c>
    </row>
    <row r="100" spans="1:10" hidden="1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16089.513897938719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6213.7629821527962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-978915042.14071405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-378056546.02814281</v>
      </c>
    </row>
    <row r="102" spans="1:10" hidden="1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-4935.7060948271292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-1906.167458965426</v>
      </c>
    </row>
    <row r="103" spans="1:10" hidden="1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885443.31275164767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341957.80646149913</v>
      </c>
    </row>
    <row r="104" spans="1:10" hidden="1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26749657.604972295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-326441.39900278812</v>
      </c>
    </row>
    <row r="105" spans="1:10" hidden="1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1702.58637760536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-20.777637128531708</v>
      </c>
    </row>
    <row r="106" spans="1:10" hidden="1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37735.52600192411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-460.50824582832831</v>
      </c>
    </row>
    <row r="107" spans="1:10" hidden="1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55745.873929295187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-680.29884131038477</v>
      </c>
    </row>
    <row r="108" spans="1:10" hidden="1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2354.3720419595397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-28.731751056412037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-92635031.253948241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1130478.3652103567</v>
      </c>
    </row>
    <row r="110" spans="1:10" hidden="1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-2195.5705459539677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26.793805409206502</v>
      </c>
    </row>
    <row r="111" spans="1:10" hidden="1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3576.9783046584125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-43.651915819597747</v>
      </c>
    </row>
    <row r="112" spans="1:10" hidden="1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2101830.5348940636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817872.11988122261</v>
      </c>
    </row>
    <row r="113" spans="1:10" hidden="1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3713.4521805671616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1444.9923324342087</v>
      </c>
    </row>
    <row r="114" spans="1:10" hidden="1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13982.637264178242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5440.9758498251313</v>
      </c>
    </row>
    <row r="115" spans="1:10" hidden="1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25742.85769854418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10017.156591918179</v>
      </c>
    </row>
    <row r="116" spans="1:10" hidden="1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2641.6895525236587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1027.9440699530517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-103939814.90605177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-40445447.597210355</v>
      </c>
    </row>
    <row r="118" spans="1:10" hidden="1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-4640.1703083058819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-1805.6003391611766</v>
      </c>
    </row>
    <row r="119" spans="1:10" hidden="1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4414.8472091398271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1717.9217762543738</v>
      </c>
    </row>
    <row r="120" spans="1:10" hidden="1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1297780.042543994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0</v>
      </c>
    </row>
    <row r="121" spans="1:10" hidden="1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392844.79832605046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0</v>
      </c>
    </row>
    <row r="122" spans="1:10" hidden="1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-27631742.341303341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0</v>
      </c>
    </row>
    <row r="123" spans="1:10" hidden="1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392663.35578269325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0</v>
      </c>
    </row>
    <row r="124" spans="1:10" hidden="1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0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0</v>
      </c>
    </row>
    <row r="125" spans="1:10" hidden="1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0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0</v>
      </c>
    </row>
    <row r="126" spans="1:10" hidden="1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0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0</v>
      </c>
    </row>
    <row r="127" spans="1:10" hidden="1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0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0</v>
      </c>
    </row>
    <row r="128" spans="1:10" hidden="1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0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0</v>
      </c>
    </row>
    <row r="129" spans="1:10" hidden="1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0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0</v>
      </c>
    </row>
    <row r="130" spans="1:10" hidden="1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0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0</v>
      </c>
    </row>
    <row r="131" spans="1:10" hidden="1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0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0</v>
      </c>
    </row>
    <row r="132" spans="1:10" hidden="1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869512.62850447604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223399.5256268252</v>
      </c>
    </row>
    <row r="133" spans="1:10" hidden="1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263206.0148784538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67624.203419687299</v>
      </c>
    </row>
    <row r="134" spans="1:10" hidden="1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-18513267.368673239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-4756521.0813299809</v>
      </c>
    </row>
    <row r="135" spans="1:10" hidden="1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392663.35578269325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100885.0297709499</v>
      </c>
    </row>
    <row r="136" spans="1:10" hidden="1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0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0</v>
      </c>
    </row>
    <row r="137" spans="1:10" hidden="1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0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0</v>
      </c>
    </row>
    <row r="138" spans="1:10" hidden="1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0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0</v>
      </c>
    </row>
    <row r="139" spans="1:10" hidden="1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0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0</v>
      </c>
    </row>
    <row r="140" spans="1:10" hidden="1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0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0</v>
      </c>
    </row>
    <row r="141" spans="1:10" hidden="1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0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0</v>
      </c>
    </row>
    <row r="142" spans="1:10" hidden="1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0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0</v>
      </c>
    </row>
    <row r="143" spans="1:10" hidden="1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0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0</v>
      </c>
    </row>
    <row r="144" spans="1:10" hidden="1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524500.91924951167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0</v>
      </c>
    </row>
    <row r="145" spans="1:10" hidden="1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-4746623.3596057389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0</v>
      </c>
    </row>
    <row r="146" spans="1:10" hidden="1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53961.853986552414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0</v>
      </c>
    </row>
    <row r="147" spans="1:10" hidden="1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0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0</v>
      </c>
    </row>
    <row r="148" spans="1:10" hidden="1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0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0</v>
      </c>
    </row>
    <row r="149" spans="1:10" hidden="1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0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0</v>
      </c>
    </row>
    <row r="150" spans="1:10" hidden="1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0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0</v>
      </c>
    </row>
    <row r="151" spans="1:10" hidden="1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0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0</v>
      </c>
    </row>
    <row r="152" spans="1:10" hidden="1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0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0</v>
      </c>
    </row>
    <row r="153" spans="1:10" hidden="1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298965.52397222165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468410.47156902496</v>
      </c>
    </row>
    <row r="154" spans="1:10" hidden="1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-2705575.314975271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-4239016.5672441646</v>
      </c>
    </row>
    <row r="155" spans="1:10" hidden="1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53961.853986552414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84545.860461584307</v>
      </c>
    </row>
    <row r="156" spans="1:10" hidden="1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0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0</v>
      </c>
    </row>
    <row r="157" spans="1:10" hidden="1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0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0</v>
      </c>
    </row>
    <row r="158" spans="1:10" hidden="1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0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0</v>
      </c>
    </row>
    <row r="159" spans="1:10" hidden="1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0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0</v>
      </c>
    </row>
    <row r="160" spans="1:10" hidden="1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0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0</v>
      </c>
    </row>
    <row r="161" spans="1:10" hidden="1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0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0</v>
      </c>
    </row>
    <row r="162" spans="1:10" hidden="1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58248.894737923874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0</v>
      </c>
    </row>
    <row r="163" spans="1:10" hidden="1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-49839545.275860257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0</v>
      </c>
    </row>
    <row r="164" spans="1:10" hidden="1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10792.370797310483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0</v>
      </c>
    </row>
    <row r="165" spans="1:10" hidden="1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33201.870000616604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52019.722466083782</v>
      </c>
    </row>
    <row r="166" spans="1:10" hidden="1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-28408540.807240348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-44509673.956063733</v>
      </c>
    </row>
    <row r="167" spans="1:10" hidden="1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10792.370797310483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16909.172092316861</v>
      </c>
    </row>
    <row r="168" spans="1:10" hidden="1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833850.28472742788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0</v>
      </c>
    </row>
    <row r="169" spans="1:10" hidden="1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-2747217.8287299233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0</v>
      </c>
    </row>
    <row r="170" spans="1:10" hidden="1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41642.224689592418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0</v>
      </c>
    </row>
    <row r="171" spans="1:10" hidden="1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0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0</v>
      </c>
    </row>
    <row r="172" spans="1:10" hidden="1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0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0</v>
      </c>
    </row>
    <row r="173" spans="1:10" hidden="1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0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0</v>
      </c>
    </row>
    <row r="174" spans="1:10" hidden="1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0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0</v>
      </c>
    </row>
    <row r="175" spans="1:10" hidden="1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0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0</v>
      </c>
    </row>
    <row r="176" spans="1:10" hidden="1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0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0</v>
      </c>
    </row>
    <row r="177" spans="1:10" hidden="1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475294.6622946338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303855.43881513749</v>
      </c>
    </row>
    <row r="178" spans="1:10" hidden="1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-1565914.162376056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-1001087.4783623401</v>
      </c>
    </row>
    <row r="179" spans="1:10" hidden="1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41642.224689592418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26621.835800148259</v>
      </c>
    </row>
    <row r="180" spans="1:10" hidden="1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0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0</v>
      </c>
    </row>
    <row r="181" spans="1:10" hidden="1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0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0</v>
      </c>
    </row>
    <row r="182" spans="1:10" hidden="1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0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0</v>
      </c>
    </row>
    <row r="183" spans="1:10" hidden="1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0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0</v>
      </c>
    </row>
    <row r="184" spans="1:10" hidden="1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0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0</v>
      </c>
    </row>
    <row r="185" spans="1:10" hidden="1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0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0</v>
      </c>
    </row>
    <row r="186" spans="1:10" hidden="1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4226015.4793974562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0</v>
      </c>
    </row>
    <row r="187" spans="1:10" hidden="1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-12314342.7231024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0</v>
      </c>
    </row>
    <row r="188" spans="1:10" hidden="1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180639.04315357094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0</v>
      </c>
    </row>
    <row r="189" spans="1:10" hidden="1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0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0</v>
      </c>
    </row>
    <row r="190" spans="1:10" hidden="1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0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0</v>
      </c>
    </row>
    <row r="191" spans="1:10" hidden="1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0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0</v>
      </c>
    </row>
    <row r="192" spans="1:10" hidden="1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0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0</v>
      </c>
    </row>
    <row r="193" spans="1:10" hidden="1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0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0</v>
      </c>
    </row>
    <row r="194" spans="1:10" hidden="1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0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0</v>
      </c>
    </row>
    <row r="195" spans="1:10" hidden="1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3296292.0739300158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1011386.324268943</v>
      </c>
    </row>
    <row r="196" spans="1:10" hidden="1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-9605187.3240198717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-2947115.9969064547</v>
      </c>
    </row>
    <row r="197" spans="1:10" hidden="1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180639.04315357094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55424.657092576541</v>
      </c>
    </row>
    <row r="198" spans="1:10" hidden="1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0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0</v>
      </c>
    </row>
    <row r="199" spans="1:10" hidden="1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0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0</v>
      </c>
    </row>
    <row r="200" spans="1:10" hidden="1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0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0</v>
      </c>
    </row>
    <row r="201" spans="1:10" hidden="1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0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0</v>
      </c>
    </row>
    <row r="202" spans="1:10" hidden="1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0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0</v>
      </c>
    </row>
    <row r="203" spans="1:10" hidden="1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0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0</v>
      </c>
    </row>
    <row r="204" spans="1:10" hidden="1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672422.81109417439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0</v>
      </c>
    </row>
    <row r="205" spans="1:10" hidden="1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185137.60160937902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0</v>
      </c>
    </row>
    <row r="206" spans="1:10" hidden="1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hidden="1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369481.27517051174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0</v>
      </c>
    </row>
    <row r="208" spans="1:10" hidden="1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0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0</v>
      </c>
    </row>
    <row r="209" spans="1:10" hidden="1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0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0</v>
      </c>
    </row>
    <row r="210" spans="1:10" hidden="1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hidden="1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0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0</v>
      </c>
    </row>
    <row r="212" spans="1:10" hidden="1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0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0</v>
      </c>
    </row>
    <row r="213" spans="1:10" hidden="1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0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0</v>
      </c>
    </row>
    <row r="214" spans="1:10" hidden="1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hidden="1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0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0</v>
      </c>
    </row>
    <row r="216" spans="1:10" hidden="1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383281.00232367939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463084.0167324213</v>
      </c>
    </row>
    <row r="217" spans="1:10" hidden="1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105528.43291734604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127500.52911198867</v>
      </c>
    </row>
    <row r="218" spans="1:10" hidden="1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hidden="1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369481.27517051174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446411.04561943188</v>
      </c>
    </row>
    <row r="220" spans="1:10" hidden="1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0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0</v>
      </c>
    </row>
    <row r="221" spans="1:10" hidden="1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0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0</v>
      </c>
    </row>
    <row r="222" spans="1:10" hidden="1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hidden="1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0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0</v>
      </c>
    </row>
    <row r="224" spans="1:10" hidden="1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0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0</v>
      </c>
    </row>
    <row r="225" spans="1:10" hidden="1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0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0</v>
      </c>
    </row>
    <row r="226" spans="1:10" hidden="1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hidden="1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0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0</v>
      </c>
    </row>
    <row r="228" spans="1:10" hidden="1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155733.66009420692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0</v>
      </c>
    </row>
    <row r="229" spans="1:10" hidden="1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-241367.14861220994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0</v>
      </c>
    </row>
    <row r="230" spans="1:10" hidden="1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4065.1490836711691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0</v>
      </c>
    </row>
    <row r="231" spans="1:10" hidden="1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0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0</v>
      </c>
    </row>
    <row r="232" spans="1:10" hidden="1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0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0</v>
      </c>
    </row>
    <row r="233" spans="1:10" hidden="1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0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0</v>
      </c>
    </row>
    <row r="234" spans="1:10" hidden="1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0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0</v>
      </c>
    </row>
    <row r="235" spans="1:10" hidden="1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0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0</v>
      </c>
    </row>
    <row r="236" spans="1:10" hidden="1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0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0</v>
      </c>
    </row>
    <row r="237" spans="1:10" hidden="1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88768.186253697932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56749.419521612363</v>
      </c>
    </row>
    <row r="238" spans="1:10" hidden="1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-137579.27470895965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-87954.303308891307</v>
      </c>
    </row>
    <row r="239" spans="1:10" hidden="1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4065.1490836711691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2598.8460562642495</v>
      </c>
    </row>
    <row r="240" spans="1:10" hidden="1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0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0</v>
      </c>
    </row>
    <row r="241" spans="1:10" hidden="1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0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0</v>
      </c>
    </row>
    <row r="242" spans="1:10" hidden="1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0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0</v>
      </c>
    </row>
    <row r="243" spans="1:10" hidden="1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0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0</v>
      </c>
    </row>
    <row r="244" spans="1:10" hidden="1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0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0</v>
      </c>
    </row>
    <row r="245" spans="1:10" hidden="1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0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0</v>
      </c>
    </row>
    <row r="246" spans="1:10" hidden="1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135586.34165657841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0</v>
      </c>
    </row>
    <row r="247" spans="1:10" hidden="1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-2085650.3515902131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0</v>
      </c>
    </row>
    <row r="248" spans="1:10" hidden="1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29283.936776178231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0</v>
      </c>
    </row>
    <row r="249" spans="1:10" hidden="1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0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0</v>
      </c>
    </row>
    <row r="250" spans="1:10" hidden="1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0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0</v>
      </c>
    </row>
    <row r="251" spans="1:10" hidden="1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0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0</v>
      </c>
    </row>
    <row r="252" spans="1:10" hidden="1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0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0</v>
      </c>
    </row>
    <row r="253" spans="1:10" hidden="1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0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0</v>
      </c>
    </row>
    <row r="254" spans="1:10" hidden="1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0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0</v>
      </c>
    </row>
    <row r="255" spans="1:10" hidden="1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77284.214744249693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95084.225804193949</v>
      </c>
    </row>
    <row r="256" spans="1:10" hidden="1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-1188820.7004064214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-1462628.5107794895</v>
      </c>
    </row>
    <row r="257" spans="1:10" hidden="1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29283.936776178231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36028.579265199121</v>
      </c>
    </row>
    <row r="258" spans="1:10" hidden="1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0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0</v>
      </c>
    </row>
    <row r="259" spans="1:10" hidden="1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0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0</v>
      </c>
    </row>
    <row r="260" spans="1:10" hidden="1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0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0</v>
      </c>
    </row>
    <row r="261" spans="1:10" hidden="1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0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0</v>
      </c>
    </row>
    <row r="262" spans="1:10" hidden="1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0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0</v>
      </c>
    </row>
    <row r="263" spans="1:10" hidden="1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0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0</v>
      </c>
    </row>
    <row r="264" spans="1:10" hidden="1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635549.76274184522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0</v>
      </c>
    </row>
    <row r="265" spans="1:10" hidden="1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-2827097.3965125731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0</v>
      </c>
    </row>
    <row r="266" spans="1:10" hidden="1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45240.742006687011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0</v>
      </c>
    </row>
    <row r="267" spans="1:10" hidden="1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0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0</v>
      </c>
    </row>
    <row r="268" spans="1:10" hidden="1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0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0</v>
      </c>
    </row>
    <row r="269" spans="1:10" hidden="1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0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0</v>
      </c>
    </row>
    <row r="270" spans="1:10" hidden="1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0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0</v>
      </c>
    </row>
    <row r="271" spans="1:10" hidden="1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0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0</v>
      </c>
    </row>
    <row r="272" spans="1:10" hidden="1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0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0</v>
      </c>
    </row>
    <row r="273" spans="1:10" hidden="1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362263.36476285174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231594.63465303747</v>
      </c>
    </row>
    <row r="274" spans="1:10" hidden="1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-1611445.5160121664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-1030195.6307075716</v>
      </c>
    </row>
    <row r="275" spans="1:10" hidden="1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45240.742006687011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28922.364598832381</v>
      </c>
    </row>
    <row r="276" spans="1:10" hidden="1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0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0</v>
      </c>
    </row>
    <row r="277" spans="1:10" hidden="1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0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0</v>
      </c>
    </row>
    <row r="278" spans="1:10" hidden="1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0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0</v>
      </c>
    </row>
    <row r="279" spans="1:10" hidden="1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0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0</v>
      </c>
    </row>
    <row r="280" spans="1:10" hidden="1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0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0</v>
      </c>
    </row>
    <row r="281" spans="1:10" hidden="1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0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0</v>
      </c>
    </row>
    <row r="282" spans="1:10" hidden="1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1935662.627621406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0</v>
      </c>
    </row>
    <row r="283" spans="1:10" hidden="1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-6490785.6615196504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0</v>
      </c>
    </row>
    <row r="284" spans="1:10" hidden="1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92237.892494703876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0</v>
      </c>
    </row>
    <row r="285" spans="1:10" hidden="1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0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0</v>
      </c>
    </row>
    <row r="286" spans="1:10" hidden="1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0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0</v>
      </c>
    </row>
    <row r="287" spans="1:10" hidden="1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0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0</v>
      </c>
    </row>
    <row r="288" spans="1:10" hidden="1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0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0</v>
      </c>
    </row>
    <row r="289" spans="1:10" hidden="1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0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0</v>
      </c>
    </row>
    <row r="290" spans="1:10" hidden="1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0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0</v>
      </c>
    </row>
    <row r="291" spans="1:10" hidden="1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1606599.9809257668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678402.70281965565</v>
      </c>
    </row>
    <row r="292" spans="1:10" hidden="1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-5387352.0990613094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-2274862.6095080278</v>
      </c>
    </row>
    <row r="293" spans="1:10" hidden="1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92237.892494703876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38948.360708145185</v>
      </c>
    </row>
    <row r="294" spans="1:10" hidden="1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0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0</v>
      </c>
    </row>
    <row r="295" spans="1:10" hidden="1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0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0</v>
      </c>
    </row>
    <row r="296" spans="1:10" hidden="1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0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0</v>
      </c>
    </row>
    <row r="297" spans="1:10" hidden="1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0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0</v>
      </c>
    </row>
    <row r="298" spans="1:10" hidden="1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0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0</v>
      </c>
    </row>
    <row r="299" spans="1:10" hidden="1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0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0</v>
      </c>
    </row>
    <row r="300" spans="1:10" hidden="1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196538.63690003159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0</v>
      </c>
    </row>
    <row r="301" spans="1:10" hidden="1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97352.627046564128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0</v>
      </c>
    </row>
    <row r="302" spans="1:10" hidden="1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-7291863.4365471331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0</v>
      </c>
    </row>
    <row r="303" spans="1:10" hidden="1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94739.821852287947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0</v>
      </c>
    </row>
    <row r="304" spans="1:10" hidden="1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0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0</v>
      </c>
    </row>
    <row r="305" spans="1:10" hidden="1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0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0</v>
      </c>
    </row>
    <row r="306" spans="1:10" hidden="1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0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0</v>
      </c>
    </row>
    <row r="307" spans="1:10" hidden="1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0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0</v>
      </c>
    </row>
    <row r="308" spans="1:10" hidden="1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0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0</v>
      </c>
    </row>
    <row r="309" spans="1:10" hidden="1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0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0</v>
      </c>
    </row>
    <row r="310" spans="1:10" hidden="1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0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0</v>
      </c>
    </row>
    <row r="311" spans="1:10" hidden="1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0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0</v>
      </c>
    </row>
    <row r="312" spans="1:10" hidden="1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108096.25029501737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69105.833019649028</v>
      </c>
    </row>
    <row r="313" spans="1:10" hidden="1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53543.944875610272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34230.594527456735</v>
      </c>
    </row>
    <row r="314" spans="1:10" hidden="1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-4010524.8901009238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-2563924.8597435928</v>
      </c>
    </row>
    <row r="315" spans="1:10" hidden="1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94739.821852287947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60567.080646804738</v>
      </c>
    </row>
    <row r="316" spans="1:10" hidden="1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0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0</v>
      </c>
    </row>
    <row r="317" spans="1:10" hidden="1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0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0</v>
      </c>
    </row>
    <row r="318" spans="1:10" hidden="1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0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0</v>
      </c>
    </row>
    <row r="319" spans="1:10" hidden="1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0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0</v>
      </c>
    </row>
    <row r="320" spans="1:10" hidden="1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0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0</v>
      </c>
    </row>
    <row r="321" spans="1:10" hidden="1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0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0</v>
      </c>
    </row>
    <row r="322" spans="1:10" hidden="1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0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0</v>
      </c>
    </row>
    <row r="323" spans="1:10" hidden="1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0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0</v>
      </c>
    </row>
    <row r="324" spans="1:10" hidden="1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320604.38203148206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0</v>
      </c>
    </row>
    <row r="325" spans="1:10" hidden="1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49395.691255745922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0</v>
      </c>
    </row>
    <row r="326" spans="1:10" hidden="1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-3139556.6476109698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0</v>
      </c>
    </row>
    <row r="327" spans="1:10" hidden="1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47589.281773830648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0</v>
      </c>
    </row>
    <row r="328" spans="1:10" hidden="1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0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0</v>
      </c>
    </row>
    <row r="329" spans="1:10" hidden="1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0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0</v>
      </c>
    </row>
    <row r="330" spans="1:10" hidden="1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0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0</v>
      </c>
    </row>
    <row r="331" spans="1:10" hidden="1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0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0</v>
      </c>
    </row>
    <row r="332" spans="1:10" hidden="1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0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0</v>
      </c>
    </row>
    <row r="333" spans="1:10" hidden="1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0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0</v>
      </c>
    </row>
    <row r="334" spans="1:10" hidden="1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0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0</v>
      </c>
    </row>
    <row r="335" spans="1:10" hidden="1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0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0</v>
      </c>
    </row>
    <row r="336" spans="1:10" hidden="1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182744.49775794477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116828.38870778363</v>
      </c>
    </row>
    <row r="337" spans="1:10" hidden="1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28155.544015775176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17999.813296217773</v>
      </c>
    </row>
    <row r="338" spans="1:10" hidden="1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-1789547.2891382526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-1144055.9298443499</v>
      </c>
    </row>
    <row r="339" spans="1:10" hidden="1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47589.281773830648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30423.783903806318</v>
      </c>
    </row>
    <row r="340" spans="1:10" hidden="1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0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0</v>
      </c>
    </row>
    <row r="341" spans="1:10" hidden="1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0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0</v>
      </c>
    </row>
    <row r="342" spans="1:10" hidden="1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0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0</v>
      </c>
    </row>
    <row r="343" spans="1:10" hidden="1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0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0</v>
      </c>
    </row>
    <row r="344" spans="1:10" hidden="1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0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0</v>
      </c>
    </row>
    <row r="345" spans="1:10" hidden="1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0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0</v>
      </c>
    </row>
    <row r="346" spans="1:10" hidden="1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0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0</v>
      </c>
    </row>
    <row r="347" spans="1:10" hidden="1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0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0</v>
      </c>
    </row>
    <row r="348" spans="1:10" hidden="1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302449.77938456426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0</v>
      </c>
    </row>
    <row r="349" spans="1:10" hidden="1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-620699.17411011318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0</v>
      </c>
    </row>
    <row r="350" spans="1:10" hidden="1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11091.862458646607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0</v>
      </c>
    </row>
    <row r="351" spans="1:10" hidden="1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0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0</v>
      </c>
    </row>
    <row r="352" spans="1:10" hidden="1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0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0</v>
      </c>
    </row>
    <row r="353" spans="1:10" hidden="1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0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0</v>
      </c>
    </row>
    <row r="354" spans="1:10" hidden="1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0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0</v>
      </c>
    </row>
    <row r="355" spans="1:10" hidden="1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0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0</v>
      </c>
    </row>
    <row r="356" spans="1:10" hidden="1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0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0</v>
      </c>
    </row>
    <row r="357" spans="1:10" hidden="1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172396.37424920162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110212.84290198362</v>
      </c>
    </row>
    <row r="358" spans="1:10" hidden="1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-353798.52924276446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-226183.07311974248</v>
      </c>
    </row>
    <row r="359" spans="1:10" hidden="1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11091.862458646607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7091.0174298569364</v>
      </c>
    </row>
    <row r="360" spans="1:10" hidden="1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0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0</v>
      </c>
    </row>
    <row r="361" spans="1:10" hidden="1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0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0</v>
      </c>
    </row>
    <row r="362" spans="1:10" hidden="1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0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0</v>
      </c>
    </row>
    <row r="363" spans="1:10" hidden="1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0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0</v>
      </c>
    </row>
    <row r="364" spans="1:10" hidden="1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0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0</v>
      </c>
    </row>
    <row r="365" spans="1:10" hidden="1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0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0</v>
      </c>
    </row>
    <row r="366" spans="1:10" hidden="1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54268.650205063619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0</v>
      </c>
    </row>
    <row r="367" spans="1:10" hidden="1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-249068.80504562779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0</v>
      </c>
    </row>
    <row r="368" spans="1:10" hidden="1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4079.9428932877067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0</v>
      </c>
    </row>
    <row r="369" spans="1:10" hidden="1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0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0</v>
      </c>
    </row>
    <row r="370" spans="1:10" hidden="1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0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0</v>
      </c>
    </row>
    <row r="371" spans="1:10" hidden="1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0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0</v>
      </c>
    </row>
    <row r="372" spans="1:10" hidden="1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0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0</v>
      </c>
    </row>
    <row r="373" spans="1:10" hidden="1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0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0</v>
      </c>
    </row>
    <row r="374" spans="1:10" hidden="1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0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0</v>
      </c>
    </row>
    <row r="375" spans="1:10" hidden="1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30933.130616886257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19775.521846053056</v>
      </c>
    </row>
    <row r="376" spans="1:10" hidden="1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-141969.21887600783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-90760.790562109163</v>
      </c>
    </row>
    <row r="377" spans="1:10" hidden="1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4079.9428932877067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2608.3037250945254</v>
      </c>
    </row>
    <row r="378" spans="1:10" hidden="1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0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0</v>
      </c>
    </row>
    <row r="379" spans="1:10" hidden="1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0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0</v>
      </c>
    </row>
    <row r="380" spans="1:10" hidden="1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0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0</v>
      </c>
    </row>
    <row r="381" spans="1:10" hidden="1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0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0</v>
      </c>
    </row>
    <row r="382" spans="1:10" hidden="1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0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0</v>
      </c>
    </row>
    <row r="383" spans="1:10" hidden="1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0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0</v>
      </c>
    </row>
    <row r="384" spans="1:10" hidden="1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1248558.9301901467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0</v>
      </c>
    </row>
    <row r="385" spans="1:10" hidden="1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-4222989.4654835407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0</v>
      </c>
    </row>
    <row r="386" spans="1:10" hidden="1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166022.13212502864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0</v>
      </c>
    </row>
    <row r="387" spans="1:10" hidden="1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0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0</v>
      </c>
    </row>
    <row r="388" spans="1:10" hidden="1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0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0</v>
      </c>
    </row>
    <row r="389" spans="1:10" hidden="1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0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0</v>
      </c>
    </row>
    <row r="390" spans="1:10" hidden="1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0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0</v>
      </c>
    </row>
    <row r="391" spans="1:10" hidden="1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0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0</v>
      </c>
    </row>
    <row r="392" spans="1:10" hidden="1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0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0</v>
      </c>
    </row>
    <row r="393" spans="1:10" hidden="1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1248558.9301901467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472804.82968134375</v>
      </c>
    </row>
    <row r="394" spans="1:10" hidden="1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-4222989.4654835407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-1599163.4569222766</v>
      </c>
    </row>
    <row r="395" spans="1:10" hidden="1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166022.13212502864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62869.331999213944</v>
      </c>
    </row>
    <row r="396" spans="1:10" hidden="1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0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0</v>
      </c>
    </row>
    <row r="397" spans="1:10" hidden="1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0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0</v>
      </c>
    </row>
    <row r="398" spans="1:10" hidden="1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0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0</v>
      </c>
    </row>
    <row r="399" spans="1:10" hidden="1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0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0</v>
      </c>
    </row>
    <row r="400" spans="1:10" hidden="1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0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0</v>
      </c>
    </row>
    <row r="401" spans="1:10" hidden="1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0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0</v>
      </c>
    </row>
    <row r="402" spans="1:10" hidden="1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589248.78125222854</v>
      </c>
    </row>
    <row r="403" spans="1:10" hidden="1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638352.84635658108</v>
      </c>
    </row>
    <row r="404" spans="1:10" hidden="1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1298768.8893653844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187131.9829571539</v>
      </c>
    </row>
    <row r="405" spans="1:10" hidden="1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50561.20880883286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7285.067684159596</v>
      </c>
    </row>
    <row r="406" spans="1:10" s="173" customFormat="1" hidden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6643.7428374806377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957.25789369857091</v>
      </c>
    </row>
    <row r="407" spans="1:10" hidden="1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673118.25417909713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96985.656725070323</v>
      </c>
    </row>
    <row r="408" spans="1:10" hidden="1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516260.44941767416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55924.401260733604</v>
      </c>
    </row>
    <row r="409" spans="1:10" hidden="1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9890.7395900861375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1071.4237168958393</v>
      </c>
    </row>
    <row r="410" spans="1:10" hidden="1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46042.092608331397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4987.5532104319882</v>
      </c>
    </row>
    <row r="411" spans="1:10" hidden="1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45429.7531879546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4921.2209638081295</v>
      </c>
    </row>
    <row r="412" spans="1:10" hidden="1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37662.715228391091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3307.5145409244233</v>
      </c>
    </row>
    <row r="413" spans="1:10" hidden="1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18266.722094158889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1604.1713555455979</v>
      </c>
    </row>
    <row r="414" spans="1:10" hidden="1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2411.1462747511318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211.74525829256845</v>
      </c>
    </row>
    <row r="415" spans="1:10" hidden="1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24782.921203771119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2176.4196168805765</v>
      </c>
    </row>
    <row r="416" spans="1:10" hidden="1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54450.688726027351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927.46485322482272</v>
      </c>
    </row>
    <row r="417" spans="1:10" ht="15.75" hidden="1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200.8404675872313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3.4209388191513961</v>
      </c>
    </row>
    <row r="418" spans="1:10" hidden="1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2645333306.6422486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529066661.3284499</v>
      </c>
    </row>
    <row r="419" spans="1:10" hidden="1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73456597.068968639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14691319.413793733</v>
      </c>
    </row>
    <row r="420" spans="1:10" hidden="1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hidden="1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34936674.215728983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6987334.843145798</v>
      </c>
    </row>
    <row r="422" spans="1:10" hidden="1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64050569.395503148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12810113.879100634</v>
      </c>
    </row>
    <row r="423" spans="1:10" hidden="1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749346871.31941783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149869374.26388362</v>
      </c>
    </row>
    <row r="424" spans="1:10" hidden="1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107945365.20500879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21589073.041001763</v>
      </c>
    </row>
    <row r="425" spans="1:10" hidden="1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6614229.0787649993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1322845.8157530003</v>
      </c>
    </row>
    <row r="426" spans="1:10" hidden="1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hidden="1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1017642613.0530289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203528522.61060584</v>
      </c>
    </row>
    <row r="428" spans="1:10" hidden="1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73008690.989279807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14601738.197855966</v>
      </c>
    </row>
    <row r="429" spans="1:10" hidden="1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hidden="1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1785841851.2665503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357168370.25331008</v>
      </c>
    </row>
    <row r="431" spans="1:10" hidden="1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54196635.642348826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10839327.128469767</v>
      </c>
    </row>
    <row r="432" spans="1:10" hidden="1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0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0</v>
      </c>
    </row>
    <row r="433" spans="1:13" hidden="1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0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0</v>
      </c>
      <c r="L433" s="134"/>
      <c r="M433" s="127"/>
    </row>
    <row r="434" spans="1:13" hidden="1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0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0</v>
      </c>
      <c r="L434" s="129"/>
      <c r="M434" s="127"/>
    </row>
    <row r="435" spans="1:13" hidden="1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0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0</v>
      </c>
      <c r="L435" s="129"/>
      <c r="M435" s="127"/>
    </row>
    <row r="436" spans="1:13" hidden="1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29293024.183912724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750400.64078553719</v>
      </c>
      <c r="L436" s="129"/>
      <c r="M436" s="127"/>
    </row>
    <row r="437" spans="1:13" s="173" customFormat="1" hidden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-31069.157993783221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-795.89993579447105</v>
      </c>
      <c r="L437" s="129"/>
      <c r="M437" s="127"/>
    </row>
    <row r="438" spans="1:13" hidden="1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57436010.913926207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8164033.8360973131</v>
      </c>
      <c r="L438" s="129"/>
      <c r="M438" s="127"/>
    </row>
    <row r="439" spans="1:13" s="173" customFormat="1" hidden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-119867.54838889552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-17038.138709937783</v>
      </c>
      <c r="L439" s="129"/>
      <c r="M439" s="127"/>
    </row>
    <row r="440" spans="1:13" hidden="1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35475.052556030016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9328.6062542521831</v>
      </c>
      <c r="L440" s="129"/>
      <c r="M440" s="127"/>
    </row>
    <row r="441" spans="1:13" hidden="1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56910367.352701776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16071520.066655172</v>
      </c>
      <c r="L441" s="129"/>
      <c r="M441" s="127"/>
    </row>
    <row r="442" spans="1:13" hidden="1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0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0</v>
      </c>
      <c r="L442" s="130"/>
      <c r="M442" s="127"/>
    </row>
    <row r="443" spans="1:13" hidden="1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0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0</v>
      </c>
      <c r="L443" s="129"/>
      <c r="M443" s="127"/>
    </row>
    <row r="444" spans="1:13" hidden="1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 t="e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#REF!</v>
      </c>
      <c r="I444" s="299" t="e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#REF!</v>
      </c>
      <c r="J444" s="300" t="e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#REF!</v>
      </c>
      <c r="L444" s="129"/>
      <c r="M444" s="127"/>
    </row>
    <row r="445" spans="1:13" hidden="1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0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0</v>
      </c>
      <c r="L445" s="129"/>
      <c r="M445" s="127"/>
    </row>
    <row r="446" spans="1:13" hidden="1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9"/>
      <c r="M446" s="127"/>
    </row>
    <row r="447" spans="1:13" hidden="1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9"/>
      <c r="M447" s="127"/>
    </row>
    <row r="448" spans="1:13" hidden="1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0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0</v>
      </c>
      <c r="L448" s="129"/>
      <c r="M448" s="127"/>
    </row>
    <row r="449" spans="1:13" hidden="1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3003461.2953119259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1201384.5181247706</v>
      </c>
      <c r="L449" s="130"/>
      <c r="M449" s="127"/>
    </row>
    <row r="450" spans="1:13" hidden="1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0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0</v>
      </c>
      <c r="L450" s="129"/>
      <c r="M450" s="127"/>
    </row>
    <row r="451" spans="1:13" ht="15.75" hidden="1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20573373.238369543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21136940.835191268</v>
      </c>
      <c r="L451" s="144"/>
      <c r="M451" s="127"/>
    </row>
    <row r="452" spans="1:13" hidden="1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 t="e">
        <f ca="1">SUMIFS('Forbrug af biomasse'!$E$1:$E$425,'Forbrug af biomasse'!$A$1:$A$425,"Biogas",'Forbrug af biomasse'!$B$1:$B$425,$A$1,'Forbrug af biomasse'!$D$1:$D$425,H$2)*'[1]Processer - data'!H452</f>
        <v>#REF!</v>
      </c>
      <c r="I452" s="305" t="e">
        <f ca="1">SUMIFS('Forbrug af biomasse'!$E$1:$E$425,'Forbrug af biomasse'!$A$1:$A$425,"Biogas",'Forbrug af biomasse'!$B$1:$B$425,$A$1,'Forbrug af biomasse'!$D$1:$D$425,I$2)*'[1]Processer - data'!I452</f>
        <v>#REF!</v>
      </c>
      <c r="J452" s="306" t="e">
        <f ca="1">SUMIFS('Forbrug af biomasse'!$E$1:$E$425,'Forbrug af biomasse'!$A$1:$A$425,"Biogas",'Forbrug af biomasse'!$B$1:$B$425,$A$1,'Forbrug af biomasse'!$D$1:$D$425,J$2)*'[1]Processer - data'!J452</f>
        <v>#REF!</v>
      </c>
    </row>
    <row r="453" spans="1:13" hidden="1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5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11473101.138699152</v>
      </c>
      <c r="J453" s="306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293906.91764100199</v>
      </c>
    </row>
    <row r="454" spans="1:13" hidden="1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5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6817712.381720243</v>
      </c>
      <c r="J454" s="306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969079.04437437316</v>
      </c>
    </row>
    <row r="455" spans="1:13" hidden="1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5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14352.502179157182</v>
      </c>
      <c r="J455" s="306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3774.1689425600439</v>
      </c>
    </row>
    <row r="456" spans="1:13" hidden="1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5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5027082.4494886566</v>
      </c>
      <c r="J456" s="306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1419650.9392212068</v>
      </c>
    </row>
    <row r="457" spans="1:13" hidden="1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 t="e">
        <f ca="1">H452*'[1]Processer - data'!H$457*Biogasanlæg!AA$3</f>
        <v>#REF!</v>
      </c>
      <c r="I457" s="305" t="e">
        <f ca="1">I452*'[1]Processer - data'!I$457*Biogasanlæg!AB$3</f>
        <v>#REF!</v>
      </c>
      <c r="J457" s="306" t="e">
        <f ca="1">J452*'[1]Processer - data'!J$457*Biogasanlæg!AC$3</f>
        <v>#REF!</v>
      </c>
    </row>
    <row r="458" spans="1:13" hidden="1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 t="e">
        <f ca="1">-SUMIFS('Resultater - Vestdanmark'!H$3:H$482,'Resultater - Vestdanmark'!$F$3:$F$482,"Gødning",'Resultater - Vestdanmark'!$A$3:$A$482,"&lt;&gt;Gødning")-SUM(H453:H457)</f>
        <v>#REF!</v>
      </c>
      <c r="I458" s="305" t="e">
        <f ca="1">-SUMIFS('Resultater - Vestdanmark'!I$3:I$482,'Resultater - Vestdanmark'!$F$3:$F$482,"Gødning",'Resultater - Vestdanmark'!$A$3:$A$482,"&lt;&gt;Gødning")-SUM(I453:I457)</f>
        <v>#REF!</v>
      </c>
      <c r="J458" s="306" t="e">
        <f ca="1">-SUMIFS('Resultater - Vestdanmark'!J$3:J$482,'Resultater - Vestdanmark'!$F$3:$F$482,"Gødning",'Resultater - Vestdanmark'!$A$3:$A$482,"&lt;&gt;Gødning")-SUM(J453:J457)</f>
        <v>#REF!</v>
      </c>
    </row>
    <row r="459" spans="1:13" hidden="1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4.5337584493101053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1.072372856322499</v>
      </c>
    </row>
    <row r="460" spans="1:13" hidden="1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5.4301372708208842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3.4119107365845482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0.77398532982006907</v>
      </c>
    </row>
    <row r="461" spans="1:13" hidden="1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1.5677127671238775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0.36386960196737617</v>
      </c>
    </row>
    <row r="462" spans="1:13" hidden="1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30.187112395873719</v>
      </c>
    </row>
    <row r="463" spans="1:13" hidden="1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9.4033734851313486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9.3703087657301456</v>
      </c>
    </row>
    <row r="464" spans="1:13" hidden="1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 t="e">
        <f ca="1">SUMIFS('Forbrug af biomasse'!$E$1:$E$425,'Forbrug af biomasse'!$A$1:$A$425,$F464,'Forbrug af biomasse'!$C$1:$C$425,$D464,'Forbrug af biomasse'!$B$1:$B$425,$A$1,'Forbrug af biomasse'!$D$1:$D$425,H$2)*'[1]Processer - data'!H464</f>
        <v>#REF!</v>
      </c>
      <c r="I464" s="309" t="e">
        <f ca="1">SUMIFS('Forbrug af biomasse'!$E$1:$E$425,'Forbrug af biomasse'!$A$1:$A$425,$F464,'Forbrug af biomasse'!$C$1:$C$425,$D464,'Forbrug af biomasse'!$B$1:$B$425,$A$1,'Forbrug af biomasse'!$D$1:$D$425,I$2)*'[1]Processer - data'!I464</f>
        <v>#REF!</v>
      </c>
      <c r="J464" s="310" t="e">
        <f ca="1">SUMIFS('Forbrug af biomasse'!$E$1:$E$425,'Forbrug af biomasse'!$A$1:$A$425,$F464,'Forbrug af biomasse'!$C$1:$C$425,$D464,'Forbrug af biomasse'!$B$1:$B$425,$A$1,'Forbrug af biomasse'!$D$1:$D$425,J$2)*'[1]Processer - data'!J464</f>
        <v>#REF!</v>
      </c>
    </row>
    <row r="465" spans="1:10" s="173" customFormat="1" hidden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hidden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hidden="1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 t="e">
        <f ca="1">SUM(H433:H451)*'[1]Processer - data'!$H$467</f>
        <v>#REF!</v>
      </c>
      <c r="I467" s="305" t="e">
        <f ca="1">SUM(I433:I451)*'[1]Processer - data'!$H$467</f>
        <v>#REF!</v>
      </c>
      <c r="J467" s="306" t="e">
        <f ca="1">SUM(J433:J451)*'[1]Processer - data'!$H$467</f>
        <v>#REF!</v>
      </c>
    </row>
    <row r="468" spans="1:10" hidden="1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649397.03682420007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129879.40736484005</v>
      </c>
    </row>
    <row r="469" spans="1:10" hidden="1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1336993.8993439414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267398.77986878838</v>
      </c>
    </row>
    <row r="470" spans="1:10" hidden="1" x14ac:dyDescent="0.25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1898227.2976393914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379645.45952787838</v>
      </c>
    </row>
    <row r="471" spans="1:10" hidden="1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0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1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152317.44359752449</v>
      </c>
      <c r="J471" s="322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34552.916509824514</v>
      </c>
    </row>
    <row r="472" spans="1:10" hidden="1" x14ac:dyDescent="0.25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97483.163902415676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22113.866566287688</v>
      </c>
    </row>
    <row r="473" spans="1:10" hidden="1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hidden="1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hidden="1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autoFilter ref="A2:U475" xr:uid="{909A89E6-B9A6-46D5-83F7-24899AA46FB2}">
    <filterColumn colId="0">
      <filters>
        <filter val="Fjerkræbrug"/>
        <filter val="Grisestald"/>
        <filter val="Kostald"/>
      </filters>
    </filterColumn>
    <filterColumn colId="5">
      <filters>
        <filter val="Fode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3"/>
      <c r="N2" s="173"/>
      <c r="O2" s="173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3">
        <f>SUMIF($F$3:$F$472,"Roer",H3:H472)</f>
        <v>2252973.7408705982</v>
      </c>
      <c r="N3" s="173">
        <f>SUMIF($F$3:$F$472,"Roer",I3:I472)</f>
        <v>426968.23377582035</v>
      </c>
      <c r="O3" s="173">
        <f>SUMIF($F$3:$F$472,"Roer",J3:J472)</f>
        <v>247594.36294776335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 t="e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#REF!</v>
      </c>
      <c r="I4" s="321" t="e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#REF!</v>
      </c>
      <c r="J4" s="322" t="e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#REF!</v>
      </c>
      <c r="M4" s="173" t="e">
        <f ca="1">SUMIF($F$3:$F$472,"Bioaffald",H3:H472)</f>
        <v>#REF!</v>
      </c>
      <c r="N4" s="173" t="e">
        <f ca="1">SUMIF($F$3:$F$472,"Bioaffald",I3:I472)</f>
        <v>#REF!</v>
      </c>
      <c r="O4" s="173" t="e">
        <f ca="1">SUMIF($F$3:$F$472,"Bioaffald",J3:J472)</f>
        <v>#REF!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3" customFormat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-130693.90950140561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-140594.57317807389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-28752.660090309237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-309308.06099176256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-731885.89320787147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9980.684302949905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5213.7903075111444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-75802.467510815259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618649.67587948299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15847.974940623564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667370.23542098131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17096.051577225953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85552.048925377545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2191.5904595939828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6992.7492115040959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179.13355262400677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-381797909.29630911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-9780533.2077618297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-29322.036588971569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-751.1438527943144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49996.746325208725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1280.7687674744302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156901.94861274998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68164.387996417223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170069.30230880162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73884.805200660834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5201.4136852640286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2259.6990267296178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-283992577.21869087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-123377564.09523816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-19171.416103872023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-8328.8184582744034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40907.964515510866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17772.031450426217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7965.8155883720874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-127.53183230522095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231155.09579013009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-3700.7676848352298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4529.9926323706541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-72.524684299582759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86528.355437922859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-1385.3094630340161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985.73170568386786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-15.781456298174895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-59973694.688972794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960172.26220544172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-250.84490330185335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4.0159993396293299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64869.590088024743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-1038.555009595078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2771.9145161779534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1070.5121310423908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149789.99597038556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57848.828619790736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1236.7003226024715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477.61310461891287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57215.158603160315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22096.46834587499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1143.5462686656167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441.63705116807182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-69575417.311027199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-26869994.662205443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-350.80042341694389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-135.4789646833888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62932.006699207355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24304.312492015339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2245088.8891556119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-27398.106124743146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142.89744622671233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-1.7438594149146298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3167.1287686917763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-38.650287093078177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4678.7306223936903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-57.097230644457959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197.60157645380249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-2.4114452609197241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-7774823.9804072613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94880.631918548286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-184.27342550965261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2.2487941980694885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300.21446880301471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-3.6636891822764142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176405.86098199314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68643.70513490845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311.6686708338392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121.27767309664802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1173.5575844179971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456.65909474429208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2160.5885446314073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840.73625530320862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221.71602906299964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86.274966364280147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-8723630.299592739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-3394571.4879185483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-389.44778123181874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-151.54336999636377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370.53649668835652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144.18454057483859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1126019.773321046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0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340852.06757712632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0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-23974700.818043433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0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340694.63882584014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0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0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0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0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0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0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0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0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0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0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0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0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0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0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0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0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0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754433.24812510086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1205010.4251037105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228370.88527667464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364762.95050947205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-16063049.548089102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-25656533.845119137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340694.63882584014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544170.86280641297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0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0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0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0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0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0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0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0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0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0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0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0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0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0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0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0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43584.756643999921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0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-394432.91025144205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0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4484.0994319480096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0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0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0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0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0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0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0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0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0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0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0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0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0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24843.311287079956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39680.712865485933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-224826.75884332194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-359102.13252366736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4484.0994319480096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7162.1797900971933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0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0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0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0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0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0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0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0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0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0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0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0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4840.3421400423858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0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-4141545.5576401413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0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896.81988638960195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0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2758.99501982416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4406.775244807397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-2360680.9678548807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-3770572.3914985079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896.81988638960195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1432.4359580194387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57600.693898283964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0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-189772.26022811423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0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2876.5607945709894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0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0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0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0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0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0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0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0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0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0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0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0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0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32832.395522021849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52441.192091529192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-108170.18833002509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-172773.67473801717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2876.5607945709894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4594.5559193168974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0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0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0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0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0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0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0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0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0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0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0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0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669460.52255723905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0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-1950765.7637667928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0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28615.775028129221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0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0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0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0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0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0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0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0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0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0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0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0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0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522179.20759464655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834045.1464562231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-1521597.2957380984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-2430354.9833344342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28615.775028129221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45706.240170369922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0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0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0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0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0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0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0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0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0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0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0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0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13513.533583050228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0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3720.6697267789827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0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7425.3840559041537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0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0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0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0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0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0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0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0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0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0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0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0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0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7702.7141423386302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12303.077662840105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2120.7817442640203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3387.3959260926022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7425.3840559041537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11860.11515266579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0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0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0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0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0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0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0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0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0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0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0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0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271954.28902918496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0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-421494.17958922632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0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7098.8810522957701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0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0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0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0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0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0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0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0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0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0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0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0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0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155013.94474663539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247594.36294776335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-240251.68236585896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-383739.42640921252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7098.8810522957701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11338.611727208941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0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0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0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0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0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0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0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0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0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0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0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0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99161.649411100094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0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-1525349.2824695001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0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21416.932092844894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0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0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0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0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0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0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0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0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0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0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0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0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0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56522.140164327044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90279.382989087491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-869449.09100761509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-1388718.2482543387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21416.932092844894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34207.965396213396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0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0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0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0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0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0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0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0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0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0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0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0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197409.89197301524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0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-878132.64099892974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0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14052.353593508962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0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0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0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0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0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0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0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0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0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0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0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0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0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112523.63842461869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179727.17627336323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-500535.60536938987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-799475.13461879746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14052.353593508962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22444.971267509678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0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0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0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0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0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0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0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0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0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0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0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0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177492.61846340122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0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-595179.41117844125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0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8457.8504677483434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0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0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0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0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0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0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0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0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0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0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0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0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0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147318.87332462301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235303.4925381059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-493998.91127810616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-789034.469993682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8457.8504677483434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13509.211070606254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0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0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0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0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0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0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0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0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0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0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0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0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97714.002990823356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0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48401.245884447002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0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-3625328.7235825318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0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47102.225709102036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0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0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0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0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0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0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0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0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0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0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0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0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0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0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0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0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0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53742.701644952846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85839.954583586805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26620.685236445854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42519.60436929531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-1993930.7979703927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-3184784.6107801241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47102.225709102036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75233.525518806666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0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0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0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0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0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0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0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0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0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0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0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0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0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0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0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0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292904.16154023248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0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45127.903241022235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0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-2868298.9348107358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0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43477.567548958104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0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0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0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0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0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0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0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0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0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0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0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0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0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0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0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0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0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166955.37207793246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266667.67985232966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25722.904847382673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41085.634258668091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-1634930.3928421191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-2611375.0588136497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43477.567548958104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69444.079094931119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0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0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0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0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0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0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0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0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0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0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0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0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0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0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0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0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72697.835502431757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0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-149193.31912812486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0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2666.0769734237801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0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0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0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0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0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0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0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0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0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0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0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0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0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41437.766236386095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66186.028296006189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-85040.191903031155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-135829.53568210226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2666.0769734237801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4258.3628904062807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0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0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0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0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0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0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0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0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0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0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0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0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16856.53744607652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0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-77363.959174157149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0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1267.2824899584652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0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0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0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0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0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0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0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0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0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0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0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0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0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9608.226344263614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15346.636618106591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-44097.456729269572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-70434.190448772788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1267.2824899584652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2024.1533836776448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0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0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0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0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0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0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0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0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0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0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0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0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237378.58965560148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0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-802883.43562148046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0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31564.46894297039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0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0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0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0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0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0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0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0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0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0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0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0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0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237378.58965560148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379150.40985041996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-802883.43562148046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-1282396.9681497109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31564.46894297039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50416.009943446363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0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0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0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0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0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0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0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0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0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0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0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0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165231.73873877228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179001.05030033668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92308.712787341981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13300.220392989411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3593.5878510270795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517.77897207102433</v>
      </c>
    </row>
    <row r="406" spans="1:10" s="173" customFormat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472.19744362495823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68.036156930132606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47841.213402714107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6893.1595177805384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74804.649769203446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8103.284407279948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1433.139632968868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155.24620564526168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6671.3663928592059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722.68207168003596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6582.6401773746938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713.07072050506395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2676.8401917201513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235.07832093771063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1298.2891853683234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114.01489066549419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171.36983399180875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15.049584565704329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1761.4215848271983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154.68686920698622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4570.0262063523087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77.841782792402455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16.856466311893854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0.28711813238051626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324691239.91381252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64938247.982762508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9016146.8584262207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1803229.3716852446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4288167.4082758855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857633.48165517719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7861640.2485057898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1572328.0497011582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91975693.256994307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18395138.651398864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13249337.761467798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2649867.55229356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811838.05279500003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162367.61055900002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124906619.89234373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24981323.97846875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8961170.353191914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1792234.070638383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219196274.25465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43839254.850930005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6652157.1333510531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1330431.4266702109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0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0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0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0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0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0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0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0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4244474.6972774416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108730.88803115708</v>
      </c>
    </row>
    <row r="437" spans="1:10" s="173" customFormat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-4501.8313623879858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-115.32360461777158</v>
      </c>
    </row>
    <row r="438" spans="1:10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4082207.6033056858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580250.62097898324</v>
      </c>
    </row>
    <row r="439" spans="1:10" s="173" customFormat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-8519.4673104311569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-1210.9688378623234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2977.4080667466123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782.94647961535372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7971861.9162678607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2306984.7866467605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0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0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0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0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 t="e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#REF!</v>
      </c>
      <c r="I444" s="299" t="e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#REF!</v>
      </c>
      <c r="J444" s="300" t="e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#REF!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0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0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0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0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368648.27942827501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147459.31177131005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0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0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17601701.809158396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18409896.860835508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 t="e">
        <f ca="1">SUMIFS('Forbrug af biomasse'!$E$1:$E$425,'Forbrug af biomasse'!$A$1:$A$425,"Biogas",'Forbrug af biomasse'!$B$1:$B$425,$A$1,'Forbrug af biomasse'!$D$1:$D$425,H$2)*'[1]Processer - data'!H452</f>
        <v>#REF!</v>
      </c>
      <c r="I452" s="305" t="e">
        <f ca="1">SUMIFS('Forbrug af biomasse'!$E$1:$E$425,'Forbrug af biomasse'!$A$1:$A$425,"Biogas",'Forbrug af biomasse'!$B$1:$B$425,$A$1,'Forbrug af biomasse'!$D$1:$D$425,I$2)*'[1]Processer - data'!I452</f>
        <v>#REF!</v>
      </c>
      <c r="J452" s="306" t="e">
        <f ca="1">SUMIFS('Forbrug af biomasse'!$E$1:$E$425,'Forbrug af biomasse'!$A$1:$A$425,"Biogas",'Forbrug af biomasse'!$B$1:$B$425,$A$1,'Forbrug af biomasse'!$D$1:$D$425,J$2)*'[1]Processer - data'!J452</f>
        <v>#REF!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5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1662419.2564336641</v>
      </c>
      <c r="J453" s="306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42586.264478869845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5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484562.15671937581</v>
      </c>
      <c r="J454" s="306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68876.333509263408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5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1204.6002102104615</v>
      </c>
      <c r="J455" s="306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316.76460625659348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5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704181.13593699434</v>
      </c>
      <c r="J456" s="306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203783.65615379714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 t="e">
        <f ca="1">H452*'[1]Processer - data'!H$457*Biogasanlæg!AA$3</f>
        <v>#REF!</v>
      </c>
      <c r="I457" s="305" t="e">
        <f ca="1">I452*'[1]Processer - data'!I$457*Biogasanlæg!AB$3</f>
        <v>#REF!</v>
      </c>
      <c r="J457" s="306" t="e">
        <f ca="1">J452*'[1]Processer - data'!J$457*Biogasanlæg!AC$3</f>
        <v>#REF!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 t="e">
        <f ca="1">-SUMIFS('Resultater - Østdanmark'!H$3:H$482,'Resultater - Østdanmark'!$F$3:$F$482,"Gødning",'Resultater - Østdanmark'!$A$3:$A$482,"&lt;&gt;Gødning")-SUM(H453:H457)</f>
        <v>#REF!</v>
      </c>
      <c r="I458" s="305" t="e">
        <f ca="1">-SUMIFS('Resultater - Østdanmark'!I$3:I$482,'Resultater - Østdanmark'!$F$3:$F$482,"Gødning",'Resultater - Østdanmark'!$A$3:$A$482,"&lt;&gt;Gødning")-SUM(I453:I457)</f>
        <v>#REF!</v>
      </c>
      <c r="J458" s="306" t="e">
        <f ca="1">-SUMIFS('Resultater - Østdanmark'!J$3:J$482,'Resultater - Østdanmark'!$F$3:$F$482,"Gødning",'Resultater - Østdanmark'!$A$3:$A$482,"&lt;&gt;Gødning")-SUM(J453:J457)</f>
        <v>#REF!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6.4477199223855344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4.4744317564005218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2.1680302826975351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1.6963150919206935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0.96140749133617209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0.48695165374225835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0.28237811377316124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8.6079025342490016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8.1419495125715642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8.1750142319727654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 t="e">
        <f ca="1">SUMIFS('Forbrug af biomasse'!$E$1:$E$425,'Forbrug af biomasse'!$A$1:$A$425,$F464,'Forbrug af biomasse'!$C$1:$C$425,$D464,'Forbrug af biomasse'!$B$1:$B$425,$A$1,'Forbrug af biomasse'!$D$1:$D$425,H$2)*'[1]Processer - data'!H464</f>
        <v>#REF!</v>
      </c>
      <c r="I464" s="309" t="e">
        <f ca="1">SUMIFS('Forbrug af biomasse'!$E$1:$E$425,'Forbrug af biomasse'!$A$1:$A$425,$F464,'Forbrug af biomasse'!$C$1:$C$425,$D464,'Forbrug af biomasse'!$B$1:$B$425,$A$1,'Forbrug af biomasse'!$D$1:$D$425,I$2)*'[1]Processer - data'!I464</f>
        <v>#REF!</v>
      </c>
      <c r="J464" s="310" t="e">
        <f ca="1">SUMIFS('Forbrug af biomasse'!$E$1:$E$425,'Forbrug af biomasse'!$A$1:$A$425,$F464,'Forbrug af biomasse'!$C$1:$C$425,$D464,'Forbrug af biomasse'!$B$1:$B$425,$A$1,'Forbrug af biomasse'!$D$1:$D$425,J$2)*'[1]Processer - data'!J464</f>
        <v>#REF!</v>
      </c>
    </row>
    <row r="465" spans="1:10" s="173" customFormat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 t="e">
        <f ca="1">SUM(H433:H451)*'[1]Processer - data'!$H$467</f>
        <v>#REF!</v>
      </c>
      <c r="I467" s="305" t="e">
        <f ca="1">SUM(I433:I451)*'[1]Processer - data'!$H$467</f>
        <v>#REF!</v>
      </c>
      <c r="J467" s="306" t="e">
        <f ca="1">SUM(J433:J451)*'[1]Processer - data'!$H$467</f>
        <v>#REF!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79707.736092599996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15941.547218520003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164104.16254358823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32820.832508717656</v>
      </c>
    </row>
    <row r="470" spans="1:10" ht="15.75" thickBot="1" x14ac:dyDescent="0.3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232990.59266414485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46598.118532828979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3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4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75728.352317888101</v>
      </c>
      <c r="J471" s="325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42919.977291793402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48466.145483448388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27468.785466747777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95">
        <f>'Resultater - Vestdanmark'!H3+'Resultater - Østdanmark'!H3</f>
        <v>6905432.901678659</v>
      </c>
      <c r="I3" s="296">
        <f>'Resultater - Vestdanmark'!I3+'Resultater - Østdanmark'!I3</f>
        <v>7187550.2724163011</v>
      </c>
      <c r="J3" s="297">
        <f>'Resultater - Vestdanmark'!J3+'Resultater - Østdanmark'!J3</f>
        <v>7494121.763909651</v>
      </c>
      <c r="L3" s="99" t="s">
        <v>114</v>
      </c>
      <c r="M3" s="99">
        <f>SUMIF($F$3:$F$487,$L$3,H$3:H$487)</f>
        <v>14517462.442375839</v>
      </c>
      <c r="N3" s="99">
        <f>SUMIF($F$3:$F$487,$L$3,I$3:I$487)</f>
        <v>4615804.8119752295</v>
      </c>
      <c r="O3" s="99">
        <f>SUMIF($F$3:$F$487,$L$3,J$3:J$487)</f>
        <v>-10237674.694242705</v>
      </c>
      <c r="Q3" s="99"/>
      <c r="U3" s="99"/>
    </row>
    <row r="4" spans="1:21" x14ac:dyDescent="0.25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98" t="e">
        <f ca="1">'Resultater - Vestdanmark'!H4+'Resultater - Østdanmark'!H4</f>
        <v>#REF!</v>
      </c>
      <c r="I4" s="299" t="e">
        <f ca="1">'Resultater - Vestdanmark'!I4+'Resultater - Østdanmark'!I4</f>
        <v>#REF!</v>
      </c>
      <c r="J4" s="300" t="e">
        <f ca="1">'Resultater - Vestdanmark'!J4+'Resultater - Østdanmark'!J4</f>
        <v>#REF!</v>
      </c>
      <c r="L4" s="99" t="s">
        <v>174</v>
      </c>
      <c r="M4" s="99">
        <f t="shared" ref="M4:O6" si="0">SUMIFS(H$3:H$487,$F$3:$F$487,$L$3,$A$3:$A$487,$L4)</f>
        <v>1383287.873779177</v>
      </c>
      <c r="N4" s="99">
        <f t="shared" si="0"/>
        <v>718278.90506005497</v>
      </c>
      <c r="O4" s="99">
        <f t="shared" si="0"/>
        <v>150544.72262521664</v>
      </c>
    </row>
    <row r="5" spans="1:21" x14ac:dyDescent="0.25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98">
        <f>'Resultater - Vestdanmark'!H5+'Resultater - Østdanmark'!H5</f>
        <v>982809</v>
      </c>
      <c r="I5" s="299">
        <f>'Resultater - Vestdanmark'!I5+'Resultater - Østdanmark'!I5</f>
        <v>982809</v>
      </c>
      <c r="J5" s="300">
        <f>'Resultater - Vestdanmark'!J5+'Resultater - Østdanmark'!J5</f>
        <v>982809</v>
      </c>
      <c r="L5" s="99" t="s">
        <v>175</v>
      </c>
      <c r="M5" s="99">
        <f t="shared" si="0"/>
        <v>4119285.0829287488</v>
      </c>
      <c r="N5" s="99">
        <f t="shared" si="0"/>
        <v>1925949.7120238375</v>
      </c>
      <c r="O5" s="99">
        <f t="shared" si="0"/>
        <v>350611.26034193899</v>
      </c>
    </row>
    <row r="6" spans="1:21" s="173" customFormat="1" x14ac:dyDescent="0.25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98">
        <f>'Resultater - Vestdanmark'!H6+'Resultater - Østdanmark'!H6</f>
        <v>355018</v>
      </c>
      <c r="I6" s="299">
        <f>'Resultater - Vestdanmark'!I6+'Resultater - Østdanmark'!I6</f>
        <v>355018</v>
      </c>
      <c r="J6" s="300">
        <f>'Resultater - Vestdanmark'!J6+'Resultater - Østdanmark'!J6</f>
        <v>355018</v>
      </c>
      <c r="L6" s="99" t="s">
        <v>176</v>
      </c>
      <c r="M6" s="99">
        <f t="shared" si="0"/>
        <v>16688.944028790498</v>
      </c>
      <c r="N6" s="99">
        <f t="shared" si="0"/>
        <v>8662.5764792896116</v>
      </c>
      <c r="O6" s="99">
        <f t="shared" si="0"/>
        <v>1814.7907118273381</v>
      </c>
    </row>
    <row r="7" spans="1:21" x14ac:dyDescent="0.25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98">
        <f>'Resultater - Vestdanmark'!H7+'Resultater - Østdanmark'!H7</f>
        <v>880.1</v>
      </c>
      <c r="I7" s="299">
        <f>'Resultater - Vestdanmark'!I7+'Resultater - Østdanmark'!I7</f>
        <v>148073.98049444324</v>
      </c>
      <c r="J7" s="300">
        <f>'Resultater - Vestdanmark'!J7+'Resultater - Østdanmark'!J7</f>
        <v>270457.58448627812</v>
      </c>
      <c r="L7" s="99" t="s">
        <v>43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23378.381367400169</v>
      </c>
      <c r="O7" s="99">
        <f>SUMIFS(J$3:J$487,$F$3:$F$487,$L$3,$C$3:$C$487,$L7)+SUMIFS(J$3:J$487,$F$3:$F$487,$L$3,$C$3:$C$487,"",$A$3:$A$487,"Grøntsager I drivhus")</f>
        <v>18341.608050336301</v>
      </c>
    </row>
    <row r="8" spans="1:21" x14ac:dyDescent="0.25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98">
        <f>'Resultater - Vestdanmark'!H8+'Resultater - Østdanmark'!H8</f>
        <v>-142.5762</v>
      </c>
      <c r="I8" s="299">
        <f>'Resultater - Vestdanmark'!I8+'Resultater - Østdanmark'!I8</f>
        <v>-23987.984840099802</v>
      </c>
      <c r="J8" s="300">
        <f>'Resultater - Vestdanmark'!J8+'Resultater - Østdanmark'!J8</f>
        <v>-43814.128686777054</v>
      </c>
      <c r="L8" s="99" t="s">
        <v>42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23378.381367400169</v>
      </c>
      <c r="O8" s="99">
        <f>SUMIFS(J$3:J$487,$F$3:$F$487,$L$3,$C$3:$C$487,$L8)</f>
        <v>0</v>
      </c>
    </row>
    <row r="9" spans="1:21" x14ac:dyDescent="0.25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98">
        <f>'Resultater - Vestdanmark'!H9+'Resultater - Østdanmark'!H9</f>
        <v>76.5</v>
      </c>
      <c r="I9" s="299">
        <f>'Resultater - Vestdanmark'!I9+'Resultater - Østdanmark'!I9</f>
        <v>18000</v>
      </c>
      <c r="J9" s="300">
        <f>'Resultater - Vestdanmark'!J9+'Resultater - Østdanmark'!J9</f>
        <v>18000</v>
      </c>
      <c r="L9" s="99" t="s">
        <v>41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23378.381367400169</v>
      </c>
      <c r="O9" s="99">
        <f>SUMIFS(J$3:J$487,$F$3:$F$487,$L$3,$C$3:$C$487,$L9)</f>
        <v>0</v>
      </c>
    </row>
    <row r="10" spans="1:21" x14ac:dyDescent="0.25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98">
        <f>'Resultater - Vestdanmark'!H10+'Resultater - Østdanmark'!H10</f>
        <v>-15.861000000000001</v>
      </c>
      <c r="I10" s="299">
        <f>'Resultater - Vestdanmark'!I10+'Resultater - Østdanmark'!I10</f>
        <v>-746.40000000000009</v>
      </c>
      <c r="J10" s="300">
        <f>'Resultater - Vestdanmark'!J10+'Resultater - Østdanmark'!J10</f>
        <v>-746.40000000000009</v>
      </c>
    </row>
    <row r="11" spans="1:21" hidden="1" x14ac:dyDescent="0.25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98">
        <f>'Resultater - Vestdanmark'!H11+'Resultater - Østdanmark'!H11</f>
        <v>1724360.8435879257</v>
      </c>
      <c r="I11" s="299">
        <f>'Resultater - Vestdanmark'!I11+'Resultater - Østdanmark'!I11</f>
        <v>1631856.7815804055</v>
      </c>
      <c r="J11" s="300">
        <f>'Resultater - Vestdanmark'!J11+'Resultater - Østdanmark'!J11</f>
        <v>1476194.7469248427</v>
      </c>
    </row>
    <row r="12" spans="1:21" hidden="1" x14ac:dyDescent="0.25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98">
        <f>'Resultater - Vestdanmark'!H12+'Resultater - Østdanmark'!H12</f>
        <v>2113570.8536589644</v>
      </c>
      <c r="I12" s="299">
        <f>'Resultater - Vestdanmark'!I12+'Resultater - Østdanmark'!I12</f>
        <v>2000187.4571203692</v>
      </c>
      <c r="J12" s="300">
        <f>'Resultater - Vestdanmark'!J12+'Resultater - Østdanmark'!J12</f>
        <v>1809390.536224924</v>
      </c>
    </row>
    <row r="13" spans="1:21" hidden="1" x14ac:dyDescent="0.25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98">
        <f>'Resultater - Vestdanmark'!H13+'Resultater - Østdanmark'!H13</f>
        <v>-561900</v>
      </c>
      <c r="I13" s="299">
        <f>'Resultater - Vestdanmark'!I13+'Resultater - Østdanmark'!I13</f>
        <v>-531756.63839717361</v>
      </c>
      <c r="J13" s="300">
        <f>'Resultater - Vestdanmark'!J13+'Resultater - Østdanmark'!J13</f>
        <v>-481032.62804968352</v>
      </c>
    </row>
    <row r="14" spans="1:21" hidden="1" x14ac:dyDescent="0.25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98">
        <f>'Resultater - Vestdanmark'!H14+'Resultater - Østdanmark'!H14</f>
        <v>0</v>
      </c>
      <c r="I14" s="299">
        <f>'Resultater - Vestdanmark'!I14+'Resultater - Østdanmark'!I14</f>
        <v>0</v>
      </c>
      <c r="J14" s="300">
        <f>'Resultater - Vestdanmark'!J14+'Resultater - Østdanmark'!J14</f>
        <v>0</v>
      </c>
    </row>
    <row r="15" spans="1:21" hidden="1" x14ac:dyDescent="0.25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98">
        <f>'Resultater - Vestdanmark'!H15+'Resultater - Østdanmark'!H15</f>
        <v>0</v>
      </c>
      <c r="I15" s="299">
        <f>'Resultater - Vestdanmark'!I15+'Resultater - Østdanmark'!I15</f>
        <v>0</v>
      </c>
      <c r="J15" s="300">
        <f>'Resultater - Vestdanmark'!J15+'Resultater - Østdanmark'!J15</f>
        <v>0</v>
      </c>
    </row>
    <row r="16" spans="1:21" hidden="1" x14ac:dyDescent="0.25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98">
        <f>'Resultater - Vestdanmark'!H16+'Resultater - Østdanmark'!H16</f>
        <v>0</v>
      </c>
      <c r="I16" s="299">
        <f>'Resultater - Vestdanmark'!I16+'Resultater - Østdanmark'!I16</f>
        <v>-1252371.2763700599</v>
      </c>
      <c r="J16" s="300">
        <f>'Resultater - Vestdanmark'!J16+'Resultater - Østdanmark'!J16</f>
        <v>-1360905.0129343625</v>
      </c>
    </row>
    <row r="17" spans="1:10" hidden="1" x14ac:dyDescent="0.25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98">
        <f>'Resultater - Vestdanmark'!H17+'Resultater - Østdanmark'!H17</f>
        <v>0</v>
      </c>
      <c r="I17" s="299">
        <f>'Resultater - Vestdanmark'!I17+'Resultater - Østdanmark'!I17</f>
        <v>0</v>
      </c>
      <c r="J17" s="300">
        <f>'Resultater - Vestdanmark'!J17+'Resultater - Østdanmark'!J17</f>
        <v>0</v>
      </c>
    </row>
    <row r="18" spans="1:10" hidden="1" x14ac:dyDescent="0.25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98">
        <f>'Resultater - Vestdanmark'!H18+'Resultater - Østdanmark'!H18</f>
        <v>0</v>
      </c>
      <c r="I18" s="299">
        <f>'Resultater - Vestdanmark'!I18+'Resultater - Østdanmark'!I18</f>
        <v>0</v>
      </c>
      <c r="J18" s="300">
        <f>'Resultater - Vestdanmark'!J18+'Resultater - Østdanmark'!J18</f>
        <v>0</v>
      </c>
    </row>
    <row r="19" spans="1:10" hidden="1" x14ac:dyDescent="0.25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98">
        <f>'Resultater - Vestdanmark'!H19+'Resultater - Østdanmark'!H19</f>
        <v>0</v>
      </c>
      <c r="I19" s="299">
        <f>'Resultater - Vestdanmark'!I19+'Resultater - Østdanmark'!I19</f>
        <v>-275521.68080141314</v>
      </c>
      <c r="J19" s="300">
        <f>'Resultater - Vestdanmark'!J19+'Resultater - Østdanmark'!J19</f>
        <v>-2993991.0284555973</v>
      </c>
    </row>
    <row r="20" spans="1:10" hidden="1" x14ac:dyDescent="0.25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98">
        <f>'Resultater - Vestdanmark'!H20+'Resultater - Østdanmark'!H20</f>
        <v>0</v>
      </c>
      <c r="I20" s="299">
        <f>'Resultater - Vestdanmark'!I20+'Resultater - Østdanmark'!I20</f>
        <v>0</v>
      </c>
      <c r="J20" s="300">
        <f>'Resultater - Vestdanmark'!J20+'Resultater - Østdanmark'!J20</f>
        <v>0</v>
      </c>
    </row>
    <row r="21" spans="1:10" hidden="1" x14ac:dyDescent="0.25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98">
        <f>'Resultater - Vestdanmark'!H21+'Resultater - Østdanmark'!H21</f>
        <v>0</v>
      </c>
      <c r="I21" s="299">
        <f>'Resultater - Vestdanmark'!I21+'Resultater - Østdanmark'!I21</f>
        <v>0</v>
      </c>
      <c r="J21" s="300">
        <f>'Resultater - Vestdanmark'!J21+'Resultater - Østdanmark'!J21</f>
        <v>0</v>
      </c>
    </row>
    <row r="22" spans="1:10" hidden="1" x14ac:dyDescent="0.25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98">
        <f>'Resultater - Vestdanmark'!H22+'Resultater - Østdanmark'!H22</f>
        <v>0</v>
      </c>
      <c r="I22" s="299">
        <f>'Resultater - Vestdanmark'!I22+'Resultater - Østdanmark'!I22</f>
        <v>0</v>
      </c>
      <c r="J22" s="300">
        <f>'Resultater - Vestdanmark'!J22+'Resultater - Østdanmark'!J22</f>
        <v>-7013279.1476723347</v>
      </c>
    </row>
    <row r="23" spans="1:10" hidden="1" x14ac:dyDescent="0.25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98">
        <f>'Resultater - Vestdanmark'!H23+'Resultater - Østdanmark'!H23</f>
        <v>0</v>
      </c>
      <c r="I23" s="299">
        <f>'Resultater - Vestdanmark'!I23+'Resultater - Østdanmark'!I23</f>
        <v>0</v>
      </c>
      <c r="J23" s="300">
        <f>'Resultater - Vestdanmark'!J23+'Resultater - Østdanmark'!J23</f>
        <v>95639.6697230758</v>
      </c>
    </row>
    <row r="24" spans="1:10" hidden="1" x14ac:dyDescent="0.25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98">
        <f>'Resultater - Vestdanmark'!H24+'Resultater - Østdanmark'!H24</f>
        <v>0</v>
      </c>
      <c r="I24" s="299">
        <f>'Resultater - Vestdanmark'!I24+'Resultater - Østdanmark'!I24</f>
        <v>0</v>
      </c>
      <c r="J24" s="300">
        <f>'Resultater - Vestdanmark'!J24+'Resultater - Østdanmark'!J24</f>
        <v>49961.02149712915</v>
      </c>
    </row>
    <row r="25" spans="1:10" hidden="1" x14ac:dyDescent="0.25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98">
        <f>'Resultater - Vestdanmark'!H25+'Resultater - Østdanmark'!H25</f>
        <v>0</v>
      </c>
      <c r="I25" s="299">
        <f>'Resultater - Vestdanmark'!I25+'Resultater - Østdanmark'!I25</f>
        <v>0</v>
      </c>
      <c r="J25" s="300">
        <f>'Resultater - Vestdanmark'!J25+'Resultater - Østdanmark'!J25</f>
        <v>-726375.34029463457</v>
      </c>
    </row>
    <row r="26" spans="1:10" hidden="1" x14ac:dyDescent="0.25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98">
        <f>'Resultater - Vestdanmark'!H26+'Resultater - Østdanmark'!H26</f>
        <v>0</v>
      </c>
      <c r="I26" s="299">
        <f>'Resultater - Vestdanmark'!I26+'Resultater - Østdanmark'!I26</f>
        <v>0</v>
      </c>
      <c r="J26" s="300">
        <f>'Resultater - Vestdanmark'!J26+'Resultater - Østdanmark'!J26</f>
        <v>0</v>
      </c>
    </row>
    <row r="27" spans="1:10" hidden="1" x14ac:dyDescent="0.25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98">
        <f>'Resultater - Vestdanmark'!H27+'Resultater - Østdanmark'!H27</f>
        <v>0</v>
      </c>
      <c r="I27" s="299">
        <f>'Resultater - Vestdanmark'!I27+'Resultater - Østdanmark'!I27</f>
        <v>0</v>
      </c>
      <c r="J27" s="300">
        <f>'Resultater - Vestdanmark'!J27+'Resultater - Østdanmark'!J27</f>
        <v>0</v>
      </c>
    </row>
    <row r="28" spans="1:10" hidden="1" x14ac:dyDescent="0.25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98">
        <f>'Resultater - Vestdanmark'!H28+'Resultater - Østdanmark'!H28</f>
        <v>0</v>
      </c>
      <c r="I28" s="299">
        <f>'Resultater - Vestdanmark'!I28+'Resultater - Østdanmark'!I28</f>
        <v>0</v>
      </c>
      <c r="J28" s="300">
        <f>'Resultater - Vestdanmark'!J28+'Resultater - Østdanmark'!J28</f>
        <v>0</v>
      </c>
    </row>
    <row r="29" spans="1:10" hidden="1" x14ac:dyDescent="0.25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98">
        <f>'Resultater - Vestdanmark'!H29+'Resultater - Østdanmark'!H29</f>
        <v>0</v>
      </c>
      <c r="I29" s="299">
        <f>'Resultater - Vestdanmark'!I29+'Resultater - Østdanmark'!I29</f>
        <v>0</v>
      </c>
      <c r="J29" s="300">
        <f>'Resultater - Vestdanmark'!J29+'Resultater - Østdanmark'!J29</f>
        <v>0</v>
      </c>
    </row>
    <row r="30" spans="1:10" hidden="1" x14ac:dyDescent="0.25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98">
        <f>'Resultater - Vestdanmark'!H30+'Resultater - Østdanmark'!H30</f>
        <v>0</v>
      </c>
      <c r="I30" s="299">
        <f>'Resultater - Vestdanmark'!I30+'Resultater - Østdanmark'!I30</f>
        <v>0</v>
      </c>
      <c r="J30" s="300">
        <f>'Resultater - Vestdanmark'!J30+'Resultater - Østdanmark'!J30</f>
        <v>0</v>
      </c>
    </row>
    <row r="31" spans="1:10" hidden="1" x14ac:dyDescent="0.25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98">
        <f>'Resultater - Vestdanmark'!H31+'Resultater - Østdanmark'!H31</f>
        <v>0</v>
      </c>
      <c r="I31" s="299">
        <f>'Resultater - Vestdanmark'!I31+'Resultater - Østdanmark'!I31</f>
        <v>0</v>
      </c>
      <c r="J31" s="300">
        <f>'Resultater - Vestdanmark'!J31+'Resultater - Østdanmark'!J31</f>
        <v>0</v>
      </c>
    </row>
    <row r="32" spans="1:10" hidden="1" x14ac:dyDescent="0.25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98">
        <f>'Resultater - Vestdanmark'!H32+'Resultater - Østdanmark'!H32</f>
        <v>0</v>
      </c>
      <c r="I32" s="299">
        <f>'Resultater - Vestdanmark'!I32+'Resultater - Østdanmark'!I32</f>
        <v>0</v>
      </c>
      <c r="J32" s="300">
        <f>'Resultater - Vestdanmark'!J32+'Resultater - Østdanmark'!J32</f>
        <v>0</v>
      </c>
    </row>
    <row r="33" spans="1:10" hidden="1" x14ac:dyDescent="0.25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98">
        <f>'Resultater - Vestdanmark'!H33+'Resultater - Østdanmark'!H33</f>
        <v>0</v>
      </c>
      <c r="I33" s="299">
        <f>'Resultater - Vestdanmark'!I33+'Resultater - Østdanmark'!I33</f>
        <v>0</v>
      </c>
      <c r="J33" s="300">
        <f>'Resultater - Vestdanmark'!J33+'Resultater - Østdanmark'!J33</f>
        <v>0</v>
      </c>
    </row>
    <row r="34" spans="1:10" hidden="1" x14ac:dyDescent="0.25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98">
        <f>'Resultater - Vestdanmark'!H34+'Resultater - Østdanmark'!H34</f>
        <v>0</v>
      </c>
      <c r="I34" s="299">
        <f>'Resultater - Vestdanmark'!I34+'Resultater - Østdanmark'!I34</f>
        <v>0</v>
      </c>
      <c r="J34" s="300">
        <f>'Resultater - Vestdanmark'!J34+'Resultater - Østdanmark'!J34</f>
        <v>0</v>
      </c>
    </row>
    <row r="35" spans="1:10" hidden="1" x14ac:dyDescent="0.25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98">
        <f>'Resultater - Vestdanmark'!H35+'Resultater - Østdanmark'!H35</f>
        <v>0</v>
      </c>
      <c r="I35" s="299">
        <f>'Resultater - Vestdanmark'!I35+'Resultater - Østdanmark'!I35</f>
        <v>0</v>
      </c>
      <c r="J35" s="300">
        <f>'Resultater - Vestdanmark'!J35+'Resultater - Østdanmark'!J35</f>
        <v>0</v>
      </c>
    </row>
    <row r="36" spans="1:10" hidden="1" x14ac:dyDescent="0.25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98">
        <f>'Resultater - Vestdanmark'!H36+'Resultater - Østdanmark'!H36</f>
        <v>0</v>
      </c>
      <c r="I36" s="299">
        <f>'Resultater - Vestdanmark'!I36+'Resultater - Østdanmark'!I36</f>
        <v>0</v>
      </c>
      <c r="J36" s="300">
        <f>'Resultater - Vestdanmark'!J36+'Resultater - Østdanmark'!J36</f>
        <v>0</v>
      </c>
    </row>
    <row r="37" spans="1:10" hidden="1" x14ac:dyDescent="0.25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98">
        <f>'Resultater - Vestdanmark'!H37+'Resultater - Østdanmark'!H37</f>
        <v>0</v>
      </c>
      <c r="I37" s="299">
        <f>'Resultater - Vestdanmark'!I37+'Resultater - Østdanmark'!I37</f>
        <v>0</v>
      </c>
      <c r="J37" s="300">
        <f>'Resultater - Vestdanmark'!J37+'Resultater - Østdanmark'!J37</f>
        <v>0</v>
      </c>
    </row>
    <row r="38" spans="1:10" hidden="1" x14ac:dyDescent="0.25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98">
        <f>'Resultater - Vestdanmark'!H38+'Resultater - Østdanmark'!H38</f>
        <v>0</v>
      </c>
      <c r="I38" s="299">
        <f>'Resultater - Vestdanmark'!I38+'Resultater - Østdanmark'!I38</f>
        <v>0</v>
      </c>
      <c r="J38" s="300">
        <f>'Resultater - Vestdanmark'!J38+'Resultater - Østdanmark'!J38</f>
        <v>0</v>
      </c>
    </row>
    <row r="39" spans="1:10" hidden="1" x14ac:dyDescent="0.25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98">
        <f>'Resultater - Vestdanmark'!H39+'Resultater - Østdanmark'!H39</f>
        <v>0</v>
      </c>
      <c r="I39" s="299">
        <f>'Resultater - Vestdanmark'!I39+'Resultater - Østdanmark'!I39</f>
        <v>0</v>
      </c>
      <c r="J39" s="300">
        <f>'Resultater - Vestdanmark'!J39+'Resultater - Østdanmark'!J39</f>
        <v>0</v>
      </c>
    </row>
    <row r="40" spans="1:10" hidden="1" x14ac:dyDescent="0.25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98">
        <f>'Resultater - Vestdanmark'!H40+'Resultater - Østdanmark'!H40</f>
        <v>0</v>
      </c>
      <c r="I40" s="299">
        <f>'Resultater - Vestdanmark'!I40+'Resultater - Østdanmark'!I40</f>
        <v>0</v>
      </c>
      <c r="J40" s="300">
        <f>'Resultater - Vestdanmark'!J40+'Resultater - Østdanmark'!J40</f>
        <v>0</v>
      </c>
    </row>
    <row r="41" spans="1:10" hidden="1" x14ac:dyDescent="0.25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98">
        <f>'Resultater - Vestdanmark'!H41+'Resultater - Østdanmark'!H41</f>
        <v>0</v>
      </c>
      <c r="I41" s="299">
        <f>'Resultater - Vestdanmark'!I41+'Resultater - Østdanmark'!I41</f>
        <v>0</v>
      </c>
      <c r="J41" s="300">
        <f>'Resultater - Vestdanmark'!J41+'Resultater - Østdanmark'!J41</f>
        <v>0</v>
      </c>
    </row>
    <row r="42" spans="1:10" hidden="1" x14ac:dyDescent="0.25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98">
        <f>'Resultater - Vestdanmark'!H42+'Resultater - Østdanmark'!H42</f>
        <v>0</v>
      </c>
      <c r="I42" s="299">
        <f>'Resultater - Vestdanmark'!I42+'Resultater - Østdanmark'!I42</f>
        <v>0</v>
      </c>
      <c r="J42" s="300">
        <f>'Resultater - Vestdanmark'!J42+'Resultater - Østdanmark'!J42</f>
        <v>0</v>
      </c>
    </row>
    <row r="43" spans="1:10" hidden="1" x14ac:dyDescent="0.25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98">
        <f>'Resultater - Vestdanmark'!H43+'Resultater - Østdanmark'!H43</f>
        <v>0</v>
      </c>
      <c r="I43" s="299">
        <f>'Resultater - Vestdanmark'!I43+'Resultater - Østdanmark'!I43</f>
        <v>0</v>
      </c>
      <c r="J43" s="300">
        <f>'Resultater - Vestdanmark'!J43+'Resultater - Østdanmark'!J43</f>
        <v>0</v>
      </c>
    </row>
    <row r="44" spans="1:10" hidden="1" x14ac:dyDescent="0.25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98">
        <f>'Resultater - Vestdanmark'!H44+'Resultater - Østdanmark'!H44</f>
        <v>0</v>
      </c>
      <c r="I44" s="299">
        <f>'Resultater - Vestdanmark'!I44+'Resultater - Østdanmark'!I44</f>
        <v>0</v>
      </c>
      <c r="J44" s="300">
        <f>'Resultater - Vestdanmark'!J44+'Resultater - Østdanmark'!J44</f>
        <v>0</v>
      </c>
    </row>
    <row r="45" spans="1:10" hidden="1" x14ac:dyDescent="0.25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98">
        <f>'Resultater - Vestdanmark'!H45+'Resultater - Østdanmark'!H45</f>
        <v>0</v>
      </c>
      <c r="I45" s="299">
        <f>'Resultater - Vestdanmark'!I45+'Resultater - Østdanmark'!I45</f>
        <v>0</v>
      </c>
      <c r="J45" s="300">
        <f>'Resultater - Vestdanmark'!J45+'Resultater - Østdanmark'!J45</f>
        <v>0</v>
      </c>
    </row>
    <row r="46" spans="1:10" hidden="1" x14ac:dyDescent="0.25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98">
        <f>'Resultater - Vestdanmark'!H46+'Resultater - Østdanmark'!H46</f>
        <v>0</v>
      </c>
      <c r="I46" s="299">
        <f>'Resultater - Vestdanmark'!I46+'Resultater - Østdanmark'!I46</f>
        <v>0</v>
      </c>
      <c r="J46" s="300">
        <f>'Resultater - Vestdanmark'!J46+'Resultater - Østdanmark'!J46</f>
        <v>0</v>
      </c>
    </row>
    <row r="47" spans="1:10" hidden="1" x14ac:dyDescent="0.25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98">
        <f>'Resultater - Vestdanmark'!H47+'Resultater - Østdanmark'!H47</f>
        <v>0</v>
      </c>
      <c r="I47" s="299">
        <f>'Resultater - Vestdanmark'!I47+'Resultater - Østdanmark'!I47</f>
        <v>0</v>
      </c>
      <c r="J47" s="300">
        <f>'Resultater - Vestdanmark'!J47+'Resultater - Østdanmark'!J47</f>
        <v>0</v>
      </c>
    </row>
    <row r="48" spans="1:10" hidden="1" x14ac:dyDescent="0.25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98">
        <f>'Resultater - Vestdanmark'!H48+'Resultater - Østdanmark'!H48</f>
        <v>0</v>
      </c>
      <c r="I48" s="299">
        <f>'Resultater - Vestdanmark'!I48+'Resultater - Østdanmark'!I48</f>
        <v>0</v>
      </c>
      <c r="J48" s="300">
        <f>'Resultater - Vestdanmark'!J48+'Resultater - Østdanmark'!J48</f>
        <v>0</v>
      </c>
    </row>
    <row r="49" spans="1:10" hidden="1" x14ac:dyDescent="0.25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98">
        <f>'Resultater - Vestdanmark'!H49+'Resultater - Østdanmark'!H49</f>
        <v>0</v>
      </c>
      <c r="I49" s="299">
        <f>'Resultater - Vestdanmark'!I49+'Resultater - Østdanmark'!I49</f>
        <v>0</v>
      </c>
      <c r="J49" s="300">
        <f>'Resultater - Vestdanmark'!J49+'Resultater - Østdanmark'!J49</f>
        <v>0</v>
      </c>
    </row>
    <row r="50" spans="1:10" hidden="1" x14ac:dyDescent="0.25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98">
        <f>'Resultater - Vestdanmark'!H50+'Resultater - Østdanmark'!H50</f>
        <v>0</v>
      </c>
      <c r="I50" s="299">
        <f>'Resultater - Vestdanmark'!I50+'Resultater - Østdanmark'!I50</f>
        <v>0</v>
      </c>
      <c r="J50" s="300">
        <f>'Resultater - Vestdanmark'!J50+'Resultater - Østdanmark'!J50</f>
        <v>0</v>
      </c>
    </row>
    <row r="51" spans="1:10" hidden="1" x14ac:dyDescent="0.25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98">
        <f>'Resultater - Vestdanmark'!H51+'Resultater - Østdanmark'!H51</f>
        <v>0</v>
      </c>
      <c r="I51" s="299">
        <f>'Resultater - Vestdanmark'!I51+'Resultater - Østdanmark'!I51</f>
        <v>0</v>
      </c>
      <c r="J51" s="300">
        <f>'Resultater - Vestdanmark'!J51+'Resultater - Østdanmark'!J51</f>
        <v>0</v>
      </c>
    </row>
    <row r="52" spans="1:10" hidden="1" x14ac:dyDescent="0.25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98">
        <f>'Resultater - Vestdanmark'!H52+'Resultater - Østdanmark'!H52</f>
        <v>0</v>
      </c>
      <c r="I52" s="299">
        <f>'Resultater - Vestdanmark'!I52+'Resultater - Østdanmark'!I52</f>
        <v>0</v>
      </c>
      <c r="J52" s="300">
        <f>'Resultater - Vestdanmark'!J52+'Resultater - Østdanmark'!J52</f>
        <v>0</v>
      </c>
    </row>
    <row r="53" spans="1:10" hidden="1" x14ac:dyDescent="0.25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98">
        <f>'Resultater - Vestdanmark'!H53+'Resultater - Østdanmark'!H53</f>
        <v>0</v>
      </c>
      <c r="I53" s="299">
        <f>'Resultater - Vestdanmark'!I53+'Resultater - Østdanmark'!I53</f>
        <v>0</v>
      </c>
      <c r="J53" s="300">
        <f>'Resultater - Vestdanmark'!J53+'Resultater - Østdanmark'!J53</f>
        <v>0</v>
      </c>
    </row>
    <row r="54" spans="1:10" hidden="1" x14ac:dyDescent="0.25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98">
        <f>'Resultater - Vestdanmark'!H54+'Resultater - Østdanmark'!H54</f>
        <v>0</v>
      </c>
      <c r="I54" s="299">
        <f>'Resultater - Vestdanmark'!I54+'Resultater - Østdanmark'!I54</f>
        <v>0</v>
      </c>
      <c r="J54" s="300">
        <f>'Resultater - Vestdanmark'!J54+'Resultater - Østdanmark'!J54</f>
        <v>0</v>
      </c>
    </row>
    <row r="55" spans="1:10" hidden="1" x14ac:dyDescent="0.25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98">
        <f>'Resultater - Vestdanmark'!H55+'Resultater - Østdanmark'!H55</f>
        <v>0</v>
      </c>
      <c r="I55" s="299">
        <f>'Resultater - Vestdanmark'!I55+'Resultater - Østdanmark'!I55</f>
        <v>0</v>
      </c>
      <c r="J55" s="300">
        <f>'Resultater - Vestdanmark'!J55+'Resultater - Østdanmark'!J55</f>
        <v>0</v>
      </c>
    </row>
    <row r="56" spans="1:10" hidden="1" x14ac:dyDescent="0.25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98">
        <f>'Resultater - Vestdanmark'!H56+'Resultater - Østdanmark'!H56</f>
        <v>0</v>
      </c>
      <c r="I56" s="299">
        <f>'Resultater - Vestdanmark'!I56+'Resultater - Østdanmark'!I56</f>
        <v>0</v>
      </c>
      <c r="J56" s="300">
        <f>'Resultater - Vestdanmark'!J56+'Resultater - Østdanmark'!J56</f>
        <v>0</v>
      </c>
    </row>
    <row r="57" spans="1:10" hidden="1" x14ac:dyDescent="0.25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98">
        <f>'Resultater - Vestdanmark'!H57+'Resultater - Østdanmark'!H57</f>
        <v>0</v>
      </c>
      <c r="I57" s="299">
        <f>'Resultater - Vestdanmark'!I57+'Resultater - Østdanmark'!I57</f>
        <v>0</v>
      </c>
      <c r="J57" s="300">
        <f>'Resultater - Vestdanmark'!J57+'Resultater - Østdanmark'!J57</f>
        <v>0</v>
      </c>
    </row>
    <row r="58" spans="1:10" hidden="1" x14ac:dyDescent="0.25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98">
        <f>'Resultater - Vestdanmark'!H58+'Resultater - Østdanmark'!H58</f>
        <v>0</v>
      </c>
      <c r="I58" s="299">
        <f>'Resultater - Vestdanmark'!I58+'Resultater - Østdanmark'!I58</f>
        <v>0</v>
      </c>
      <c r="J58" s="300">
        <f>'Resultater - Vestdanmark'!J58+'Resultater - Østdanmark'!J58</f>
        <v>0</v>
      </c>
    </row>
    <row r="59" spans="1:10" hidden="1" x14ac:dyDescent="0.25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98">
        <f>'Resultater - Vestdanmark'!H59+'Resultater - Østdanmark'!H59</f>
        <v>0</v>
      </c>
      <c r="I59" s="299">
        <f>'Resultater - Vestdanmark'!I59+'Resultater - Østdanmark'!I59</f>
        <v>0</v>
      </c>
      <c r="J59" s="300">
        <f>'Resultater - Vestdanmark'!J59+'Resultater - Østdanmark'!J59</f>
        <v>0</v>
      </c>
    </row>
    <row r="60" spans="1:10" hidden="1" x14ac:dyDescent="0.25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98">
        <f>'Resultater - Vestdanmark'!H60+'Resultater - Østdanmark'!H60</f>
        <v>0</v>
      </c>
      <c r="I60" s="299">
        <f>'Resultater - Vestdanmark'!I60+'Resultater - Østdanmark'!I60</f>
        <v>0</v>
      </c>
      <c r="J60" s="300">
        <f>'Resultater - Vestdanmark'!J60+'Resultater - Østdanmark'!J60</f>
        <v>0</v>
      </c>
    </row>
    <row r="61" spans="1:10" hidden="1" x14ac:dyDescent="0.25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98">
        <f>'Resultater - Vestdanmark'!H61+'Resultater - Østdanmark'!H61</f>
        <v>0</v>
      </c>
      <c r="I61" s="299">
        <f>'Resultater - Vestdanmark'!I61+'Resultater - Østdanmark'!I61</f>
        <v>0</v>
      </c>
      <c r="J61" s="300">
        <f>'Resultater - Vestdanmark'!J61+'Resultater - Østdanmark'!J61</f>
        <v>0</v>
      </c>
    </row>
    <row r="62" spans="1:10" hidden="1" x14ac:dyDescent="0.25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98">
        <f>'Resultater - Vestdanmark'!H62+'Resultater - Østdanmark'!H62</f>
        <v>0</v>
      </c>
      <c r="I62" s="299">
        <f>'Resultater - Vestdanmark'!I62+'Resultater - Østdanmark'!I62</f>
        <v>0</v>
      </c>
      <c r="J62" s="300">
        <f>'Resultater - Vestdanmark'!J62+'Resultater - Østdanmark'!J62</f>
        <v>0</v>
      </c>
    </row>
    <row r="63" spans="1:10" hidden="1" x14ac:dyDescent="0.25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98">
        <f>'Resultater - Vestdanmark'!H63+'Resultater - Østdanmark'!H63</f>
        <v>0</v>
      </c>
      <c r="I63" s="299">
        <f>'Resultater - Vestdanmark'!I63+'Resultater - Østdanmark'!I63</f>
        <v>0</v>
      </c>
      <c r="J63" s="300">
        <f>'Resultater - Vestdanmark'!J63+'Resultater - Østdanmark'!J63</f>
        <v>0</v>
      </c>
    </row>
    <row r="64" spans="1:10" hidden="1" x14ac:dyDescent="0.25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98">
        <f>'Resultater - Vestdanmark'!H64+'Resultater - Østdanmark'!H64</f>
        <v>0</v>
      </c>
      <c r="I64" s="299">
        <f>'Resultater - Vestdanmark'!I64+'Resultater - Østdanmark'!I64</f>
        <v>0</v>
      </c>
      <c r="J64" s="300">
        <f>'Resultater - Vestdanmark'!J64+'Resultater - Østdanmark'!J64</f>
        <v>0</v>
      </c>
    </row>
    <row r="65" spans="1:10" hidden="1" x14ac:dyDescent="0.25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98">
        <f>'Resultater - Vestdanmark'!H65+'Resultater - Østdanmark'!H65</f>
        <v>0</v>
      </c>
      <c r="I65" s="299">
        <f>'Resultater - Vestdanmark'!I65+'Resultater - Østdanmark'!I65</f>
        <v>0</v>
      </c>
      <c r="J65" s="300">
        <f>'Resultater - Vestdanmark'!J65+'Resultater - Østdanmark'!J65</f>
        <v>0</v>
      </c>
    </row>
    <row r="66" spans="1:10" hidden="1" x14ac:dyDescent="0.25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98">
        <f>'Resultater - Vestdanmark'!H66+'Resultater - Østdanmark'!H66</f>
        <v>0</v>
      </c>
      <c r="I66" s="299">
        <f>'Resultater - Vestdanmark'!I66+'Resultater - Østdanmark'!I66</f>
        <v>0</v>
      </c>
      <c r="J66" s="300">
        <f>'Resultater - Vestdanmark'!J66+'Resultater - Østdanmark'!J66</f>
        <v>0</v>
      </c>
    </row>
    <row r="67" spans="1:10" hidden="1" x14ac:dyDescent="0.25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98">
        <f>'Resultater - Vestdanmark'!H67+'Resultater - Østdanmark'!H67</f>
        <v>0</v>
      </c>
      <c r="I67" s="299">
        <f>'Resultater - Vestdanmark'!I67+'Resultater - Østdanmark'!I67</f>
        <v>0</v>
      </c>
      <c r="J67" s="300">
        <f>'Resultater - Vestdanmark'!J67+'Resultater - Østdanmark'!J67</f>
        <v>0</v>
      </c>
    </row>
    <row r="68" spans="1:10" hidden="1" x14ac:dyDescent="0.25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98">
        <f>'Resultater - Vestdanmark'!H68+'Resultater - Østdanmark'!H68</f>
        <v>0</v>
      </c>
      <c r="I68" s="299">
        <f>'Resultater - Vestdanmark'!I68+'Resultater - Østdanmark'!I68</f>
        <v>0</v>
      </c>
      <c r="J68" s="300">
        <f>'Resultater - Vestdanmark'!J68+'Resultater - Østdanmark'!J68</f>
        <v>0</v>
      </c>
    </row>
    <row r="69" spans="1:10" hidden="1" x14ac:dyDescent="0.25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98">
        <f>'Resultater - Vestdanmark'!H69+'Resultater - Østdanmark'!H69</f>
        <v>0</v>
      </c>
      <c r="I69" s="299">
        <f>'Resultater - Vestdanmark'!I69+'Resultater - Østdanmark'!I69</f>
        <v>0</v>
      </c>
      <c r="J69" s="300">
        <f>'Resultater - Vestdanmark'!J69+'Resultater - Østdanmark'!J69</f>
        <v>0</v>
      </c>
    </row>
    <row r="70" spans="1:10" hidden="1" x14ac:dyDescent="0.25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98">
        <f>'Resultater - Vestdanmark'!H70+'Resultater - Østdanmark'!H70</f>
        <v>0</v>
      </c>
      <c r="I70" s="299">
        <f>'Resultater - Vestdanmark'!I70+'Resultater - Østdanmark'!I70</f>
        <v>0</v>
      </c>
      <c r="J70" s="300">
        <f>'Resultater - Vestdanmark'!J70+'Resultater - Østdanmark'!J70</f>
        <v>0</v>
      </c>
    </row>
    <row r="71" spans="1:10" hidden="1" x14ac:dyDescent="0.25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98">
        <f>'Resultater - Vestdanmark'!H71+'Resultater - Østdanmark'!H71</f>
        <v>0</v>
      </c>
      <c r="I71" s="299">
        <f>'Resultater - Vestdanmark'!I71+'Resultater - Østdanmark'!I71</f>
        <v>0</v>
      </c>
      <c r="J71" s="300">
        <f>'Resultater - Vestdanmark'!J71+'Resultater - Østdanmark'!J71</f>
        <v>0</v>
      </c>
    </row>
    <row r="72" spans="1:10" hidden="1" x14ac:dyDescent="0.25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98">
        <f>'Resultater - Vestdanmark'!H72+'Resultater - Østdanmark'!H72</f>
        <v>0</v>
      </c>
      <c r="I72" s="299">
        <f>'Resultater - Vestdanmark'!I72+'Resultater - Østdanmark'!I72</f>
        <v>0</v>
      </c>
      <c r="J72" s="300">
        <f>'Resultater - Vestdanmark'!J72+'Resultater - Østdanmark'!J72</f>
        <v>0</v>
      </c>
    </row>
    <row r="73" spans="1:10" hidden="1" x14ac:dyDescent="0.25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98">
        <f>'Resultater - Vestdanmark'!H73+'Resultater - Østdanmark'!H73</f>
        <v>0</v>
      </c>
      <c r="I73" s="299">
        <f>'Resultater - Vestdanmark'!I73+'Resultater - Østdanmark'!I73</f>
        <v>0</v>
      </c>
      <c r="J73" s="300">
        <f>'Resultater - Vestdanmark'!J73+'Resultater - Østdanmark'!J73</f>
        <v>0</v>
      </c>
    </row>
    <row r="74" spans="1:10" x14ac:dyDescent="0.25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98">
        <f>'Resultater - Vestdanmark'!H74+'Resultater - Østdanmark'!H74</f>
        <v>16367972</v>
      </c>
      <c r="I74" s="299">
        <f>'Resultater - Vestdanmark'!I74+'Resultater - Østdanmark'!I74</f>
        <v>4888228.6484038439</v>
      </c>
      <c r="J74" s="300">
        <f>'Resultater - Vestdanmark'!J74+'Resultater - Østdanmark'!J74</f>
        <v>125221.96025369564</v>
      </c>
    </row>
    <row r="75" spans="1:10" x14ac:dyDescent="0.25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98">
        <f>'Resultater - Vestdanmark'!H75+'Resultater - Østdanmark'!H75</f>
        <v>17657000</v>
      </c>
      <c r="I75" s="299">
        <f>'Resultater - Vestdanmark'!I75+'Resultater - Østdanmark'!I75</f>
        <v>5273191.6479858756</v>
      </c>
      <c r="J75" s="300">
        <f>'Resultater - Vestdanmark'!J75+'Resultater - Østdanmark'!J75</f>
        <v>135083.5737133167</v>
      </c>
    </row>
    <row r="76" spans="1:10" x14ac:dyDescent="0.25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98">
        <f>'Resultater - Vestdanmark'!H76+'Resultater - Østdanmark'!H76</f>
        <v>2263500</v>
      </c>
      <c r="I76" s="299">
        <f>'Resultater - Vestdanmark'!I76+'Resultater - Østdanmark'!I76</f>
        <v>675985.12177697395</v>
      </c>
      <c r="J76" s="300">
        <f>'Resultater - Vestdanmark'!J76+'Resultater - Østdanmark'!J76</f>
        <v>17316.739485761587</v>
      </c>
    </row>
    <row r="77" spans="1:10" x14ac:dyDescent="0.25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98">
        <f>'Resultater - Vestdanmark'!H77+'Resultater - Østdanmark'!H77</f>
        <v>185011.20708453766</v>
      </c>
      <c r="I77" s="299">
        <f>'Resultater - Vestdanmark'!I77+'Resultater - Østdanmark'!I77</f>
        <v>55252.848840797931</v>
      </c>
      <c r="J77" s="300">
        <f>'Resultater - Vestdanmark'!J77+'Resultater - Østdanmark'!J77</f>
        <v>1415.4145681595878</v>
      </c>
    </row>
    <row r="78" spans="1:10" x14ac:dyDescent="0.25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98">
        <f>'Resultater - Vestdanmark'!H78+'Resultater - Østdanmark'!H78</f>
        <v>-10101447931.960001</v>
      </c>
      <c r="I78" s="299">
        <f>'Resultater - Vestdanmark'!I78+'Resultater - Østdanmark'!I78</f>
        <v>-3016756576.279983</v>
      </c>
      <c r="J78" s="300">
        <f>'Resultater - Vestdanmark'!J78+'Resultater - Østdanmark'!J78</f>
        <v>-77280380.943996668</v>
      </c>
    </row>
    <row r="79" spans="1:10" x14ac:dyDescent="0.25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98">
        <f>'Resultater - Vestdanmark'!H79+'Resultater - Østdanmark'!H79</f>
        <v>-775790.06759999995</v>
      </c>
      <c r="I79" s="299">
        <f>'Resultater - Vestdanmark'!I79+'Resultater - Østdanmark'!I79</f>
        <v>-231686.5665208539</v>
      </c>
      <c r="J79" s="300">
        <f>'Resultater - Vestdanmark'!J79+'Resultater - Østdanmark'!J79</f>
        <v>-5935.1245841707841</v>
      </c>
    </row>
    <row r="80" spans="1:10" x14ac:dyDescent="0.25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98">
        <f>'Resultater - Vestdanmark'!H80+'Resultater - Østdanmark'!H80</f>
        <v>1322792.8112606632</v>
      </c>
      <c r="I80" s="299">
        <f>'Resultater - Vestdanmark'!I80+'Resultater - Østdanmark'!I80</f>
        <v>395046.72392566601</v>
      </c>
      <c r="J80" s="300">
        <f>'Resultater - Vestdanmark'!J80+'Resultater - Østdanmark'!J80</f>
        <v>10119.928653076695</v>
      </c>
    </row>
    <row r="81" spans="1:10" x14ac:dyDescent="0.25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98">
        <f>'Resultater - Vestdanmark'!H81+'Resultater - Østdanmark'!H81</f>
        <v>232028</v>
      </c>
      <c r="I81" s="299">
        <f>'Resultater - Vestdanmark'!I81+'Resultater - Østdanmark'!I81</f>
        <v>1239752.6905819366</v>
      </c>
      <c r="J81" s="300">
        <f>'Resultater - Vestdanmark'!J81+'Resultater - Østdanmark'!J81</f>
        <v>538597.41174407711</v>
      </c>
    </row>
    <row r="82" spans="1:10" x14ac:dyDescent="0.25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98">
        <f>'Resultater - Vestdanmark'!H82+'Resultater - Østdanmark'!H82</f>
        <v>0</v>
      </c>
      <c r="I82" s="299">
        <f>'Resultater - Vestdanmark'!I82+'Resultater - Østdanmark'!I82</f>
        <v>0</v>
      </c>
      <c r="J82" s="300">
        <f>'Resultater - Vestdanmark'!J82+'Resultater - Østdanmark'!J82</f>
        <v>0</v>
      </c>
    </row>
    <row r="83" spans="1:10" x14ac:dyDescent="0.25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98">
        <f>'Resultater - Vestdanmark'!H83+'Resultater - Østdanmark'!H83</f>
        <v>251500.00000000003</v>
      </c>
      <c r="I83" s="299">
        <f>'Resultater - Vestdanmark'!I83+'Resultater - Østdanmark'!I83</f>
        <v>1343793.8597124359</v>
      </c>
      <c r="J83" s="300">
        <f>'Resultater - Vestdanmark'!J83+'Resultater - Østdanmark'!J83</f>
        <v>583796.99455942994</v>
      </c>
    </row>
    <row r="84" spans="1:10" x14ac:dyDescent="0.25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98">
        <f>'Resultater - Vestdanmark'!H84+'Resultater - Østdanmark'!H84</f>
        <v>7691.8969154623392</v>
      </c>
      <c r="I84" s="299">
        <f>'Resultater - Vestdanmark'!I84+'Resultater - Østdanmark'!I84</f>
        <v>41098.703159202058</v>
      </c>
      <c r="J84" s="300">
        <f>'Resultater - Vestdanmark'!J84+'Resultater - Østdanmark'!J84</f>
        <v>17854.895831840411</v>
      </c>
    </row>
    <row r="85" spans="1:10" x14ac:dyDescent="0.25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98">
        <f>'Resultater - Vestdanmark'!H85+'Resultater - Østdanmark'!H85</f>
        <v>-419970754.27999997</v>
      </c>
      <c r="I85" s="299">
        <f>'Resultater - Vestdanmark'!I85+'Resultater - Østdanmark'!I85</f>
        <v>-2243952766.8400168</v>
      </c>
      <c r="J85" s="300">
        <f>'Resultater - Vestdanmark'!J85+'Resultater - Østdanmark'!J85</f>
        <v>-974861487.6800034</v>
      </c>
    </row>
    <row r="86" spans="1:10" x14ac:dyDescent="0.25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98">
        <f>'Resultater - Vestdanmark'!H86+'Resultater - Østdanmark'!H86</f>
        <v>-28350.861000000001</v>
      </c>
      <c r="I86" s="299">
        <f>'Resultater - Vestdanmark'!I86+'Resultater - Østdanmark'!I86</f>
        <v>-151481.9599576969</v>
      </c>
      <c r="J86" s="300">
        <f>'Resultater - Vestdanmark'!J86+'Resultater - Østdanmark'!J86</f>
        <v>-65809.73139153939</v>
      </c>
    </row>
    <row r="87" spans="1:10" x14ac:dyDescent="0.25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98">
        <f>'Resultater - Vestdanmark'!H87+'Resultater - Østdanmark'!H87</f>
        <v>60495.062518513841</v>
      </c>
      <c r="I87" s="299">
        <f>'Resultater - Vestdanmark'!I87+'Resultater - Østdanmark'!I87</f>
        <v>323232.18113438901</v>
      </c>
      <c r="J87" s="300">
        <f>'Resultater - Vestdanmark'!J87+'Resultater - Østdanmark'!J87</f>
        <v>140424.79397213995</v>
      </c>
    </row>
    <row r="88" spans="1:10" x14ac:dyDescent="0.25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98">
        <f>'Resultater - Vestdanmark'!H88+'Resultater - Østdanmark'!H88</f>
        <v>440600</v>
      </c>
      <c r="I88" s="299">
        <f>'Resultater - Vestdanmark'!I88+'Resultater - Østdanmark'!I88</f>
        <v>120043.5724132746</v>
      </c>
      <c r="J88" s="300">
        <f>'Resultater - Vestdanmark'!J88+'Resultater - Østdanmark'!J88</f>
        <v>-1921.88440423814</v>
      </c>
    </row>
    <row r="89" spans="1:10" x14ac:dyDescent="0.25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98">
        <f>'Resultater - Vestdanmark'!H89+'Resultater - Østdanmark'!H89</f>
        <v>12785500</v>
      </c>
      <c r="I89" s="299">
        <f>'Resultater - Vestdanmark'!I89+'Resultater - Østdanmark'!I89</f>
        <v>3483470.4836357743</v>
      </c>
      <c r="J89" s="300">
        <f>'Resultater - Vestdanmark'!J89+'Resultater - Østdanmark'!J89</f>
        <v>-55769.979687668492</v>
      </c>
    </row>
    <row r="90" spans="1:10" x14ac:dyDescent="0.25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98">
        <f>'Resultater - Vestdanmark'!H90+'Resultater - Østdanmark'!H90</f>
        <v>250560.00000000003</v>
      </c>
      <c r="I90" s="299">
        <f>'Resultater - Vestdanmark'!I90+'Resultater - Østdanmark'!I90</f>
        <v>68266.267598434133</v>
      </c>
      <c r="J90" s="300">
        <f>'Resultater - Vestdanmark'!J90+'Resultater - Østdanmark'!J90</f>
        <v>-1092.9354433179944</v>
      </c>
    </row>
    <row r="91" spans="1:10" x14ac:dyDescent="0.25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98">
        <f>'Resultater - Vestdanmark'!H91+'Resultater - Østdanmark'!H91</f>
        <v>4786000</v>
      </c>
      <c r="I91" s="299">
        <f>'Resultater - Vestdanmark'!I91+'Resultater - Østdanmark'!I91</f>
        <v>1303968.5373806902</v>
      </c>
      <c r="J91" s="300">
        <f>'Resultater - Vestdanmark'!J91+'Resultater - Østdanmark'!J91</f>
        <v>-20876.393006545026</v>
      </c>
    </row>
    <row r="92" spans="1:10" x14ac:dyDescent="0.25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98">
        <f>'Resultater - Vestdanmark'!H92+'Resultater - Østdanmark'!H92</f>
        <v>54522.149641311174</v>
      </c>
      <c r="I92" s="299">
        <f>'Resultater - Vestdanmark'!I92+'Resultater - Østdanmark'!I92</f>
        <v>14854.819833395666</v>
      </c>
      <c r="J92" s="300">
        <f>'Resultater - Vestdanmark'!J92+'Resultater - Østdanmark'!J92</f>
        <v>-237.8240333208671</v>
      </c>
    </row>
    <row r="93" spans="1:10" x14ac:dyDescent="0.25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98">
        <f>'Resultater - Vestdanmark'!H93+'Resultater - Østdanmark'!H93</f>
        <v>-3317225912</v>
      </c>
      <c r="I93" s="299">
        <f>'Resultater - Vestdanmark'!I93+'Resultater - Østdanmark'!I93</f>
        <v>-903794028.54825878</v>
      </c>
      <c r="J93" s="300">
        <f>'Resultater - Vestdanmark'!J93+'Resultater - Østdanmark'!J93</f>
        <v>14469643.090348253</v>
      </c>
    </row>
    <row r="94" spans="1:10" x14ac:dyDescent="0.25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98">
        <f>'Resultater - Vestdanmark'!H94+'Resultater - Østdanmark'!H94</f>
        <v>-13874.569799999999</v>
      </c>
      <c r="I94" s="299">
        <f>'Resultater - Vestdanmark'!I94+'Resultater - Østdanmark'!I94</f>
        <v>-3780.1927473657115</v>
      </c>
      <c r="J94" s="300">
        <f>'Resultater - Vestdanmark'!J94+'Resultater - Østdanmark'!J94</f>
        <v>60.520470526857665</v>
      </c>
    </row>
    <row r="95" spans="1:10" x14ac:dyDescent="0.25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98">
        <f>'Resultater - Vestdanmark'!H95+'Resultater - Østdanmark'!H95</f>
        <v>3588024.4873487833</v>
      </c>
      <c r="I95" s="299">
        <f>'Resultater - Vestdanmark'!I95+'Resultater - Østdanmark'!I95</f>
        <v>977574.39257298235</v>
      </c>
      <c r="J95" s="300">
        <f>'Resultater - Vestdanmark'!J95+'Resultater - Østdanmark'!J95</f>
        <v>-15650.858611575519</v>
      </c>
    </row>
    <row r="96" spans="1:10" x14ac:dyDescent="0.25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98">
        <f>'Resultater - Vestdanmark'!H96+'Resultater - Østdanmark'!H96</f>
        <v>23400.000000000004</v>
      </c>
      <c r="I96" s="299">
        <f>'Resultater - Vestdanmark'!I96+'Resultater - Østdanmark'!I96</f>
        <v>41772.310349732412</v>
      </c>
      <c r="J96" s="300">
        <f>'Resultater - Vestdanmark'!J96+'Resultater - Østdanmark'!J96</f>
        <v>16132.447342826117</v>
      </c>
    </row>
    <row r="97" spans="1:10" x14ac:dyDescent="0.25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98">
        <f>'Resultater - Vestdanmark'!H97+'Resultater - Østdanmark'!H97</f>
        <v>1264500</v>
      </c>
      <c r="I97" s="299">
        <f>'Resultater - Vestdanmark'!I97+'Resultater - Østdanmark'!I97</f>
        <v>2257311.3862066939</v>
      </c>
      <c r="J97" s="300">
        <f>'Resultater - Vestdanmark'!J97+'Resultater - Østdanmark'!J97</f>
        <v>871772.63525656518</v>
      </c>
    </row>
    <row r="98" spans="1:10" x14ac:dyDescent="0.25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98">
        <f>'Resultater - Vestdanmark'!H98+'Resultater - Østdanmark'!H98</f>
        <v>10440.000000000002</v>
      </c>
      <c r="I98" s="299">
        <f>'Resultater - Vestdanmark'!I98+'Resultater - Østdanmark'!I98</f>
        <v>18636.876925265231</v>
      </c>
      <c r="J98" s="300">
        <f>'Resultater - Vestdanmark'!J98+'Resultater - Østdanmark'!J98</f>
        <v>7197.5534298762677</v>
      </c>
    </row>
    <row r="99" spans="1:10" x14ac:dyDescent="0.25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98">
        <f>'Resultater - Vestdanmark'!H99+'Resultater - Østdanmark'!H99</f>
        <v>482999.99999999994</v>
      </c>
      <c r="I99" s="299">
        <f>'Resultater - Vestdanmark'!I99+'Resultater - Østdanmark'!I99</f>
        <v>862223.32901370735</v>
      </c>
      <c r="J99" s="300">
        <f>'Resultater - Vestdanmark'!J99+'Resultater - Østdanmark'!J99</f>
        <v>332990.25925576978</v>
      </c>
    </row>
    <row r="100" spans="1:10" x14ac:dyDescent="0.25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98">
        <f>'Resultater - Vestdanmark'!H100+'Resultater - Østdanmark'!H100</f>
        <v>9653.6103586888312</v>
      </c>
      <c r="I100" s="299">
        <f>'Resultater - Vestdanmark'!I100+'Resultater - Østdanmark'!I100</f>
        <v>17233.060166604337</v>
      </c>
      <c r="J100" s="300">
        <f>'Resultater - Vestdanmark'!J100+'Resultater - Østdanmark'!J100</f>
        <v>6655.4000333208678</v>
      </c>
    </row>
    <row r="101" spans="1:10" x14ac:dyDescent="0.25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98">
        <f>'Resultater - Vestdanmark'!H101+'Resultater - Østdanmark'!H101</f>
        <v>-587343064</v>
      </c>
      <c r="I101" s="299">
        <f>'Resultater - Vestdanmark'!I101+'Resultater - Østdanmark'!I101</f>
        <v>-1048490459.4517412</v>
      </c>
      <c r="J101" s="300">
        <f>'Resultater - Vestdanmark'!J101+'Resultater - Østdanmark'!J101</f>
        <v>-404926540.69034827</v>
      </c>
    </row>
    <row r="102" spans="1:10" x14ac:dyDescent="0.25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98">
        <f>'Resultater - Vestdanmark'!H102+'Resultater - Østdanmark'!H102</f>
        <v>-2961.3935999999999</v>
      </c>
      <c r="I102" s="299">
        <f>'Resultater - Vestdanmark'!I102+'Resultater - Østdanmark'!I102</f>
        <v>-5286.506518244073</v>
      </c>
      <c r="J102" s="300">
        <f>'Resultater - Vestdanmark'!J102+'Resultater - Østdanmark'!J102</f>
        <v>-2041.6464236488148</v>
      </c>
    </row>
    <row r="103" spans="1:10" x14ac:dyDescent="0.25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98">
        <f>'Resultater - Vestdanmark'!H103+'Resultater - Østdanmark'!H103</f>
        <v>531260.59557996574</v>
      </c>
      <c r="I103" s="299">
        <f>'Resultater - Vestdanmark'!I103+'Resultater - Østdanmark'!I103</f>
        <v>948375.31945085502</v>
      </c>
      <c r="J103" s="300">
        <f>'Resultater - Vestdanmark'!J103+'Resultater - Østdanmark'!J103</f>
        <v>366262.11895351449</v>
      </c>
    </row>
    <row r="104" spans="1:10" x14ac:dyDescent="0.25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98">
        <f>'Resultater - Vestdanmark'!H104+'Resultater - Østdanmark'!H104</f>
        <v>105566999.99999999</v>
      </c>
      <c r="I104" s="299">
        <f>'Resultater - Vestdanmark'!I104+'Resultater - Østdanmark'!I104</f>
        <v>28994746.494127907</v>
      </c>
      <c r="J104" s="300">
        <f>'Resultater - Vestdanmark'!J104+'Resultater - Østdanmark'!J104</f>
        <v>-353839.50512753124</v>
      </c>
    </row>
    <row r="105" spans="1:10" x14ac:dyDescent="0.25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98">
        <f>'Resultater - Vestdanmark'!H105+'Resultater - Østdanmark'!H105</f>
        <v>6719.2238038686164</v>
      </c>
      <c r="I105" s="299">
        <f>'Resultater - Vestdanmark'!I105+'Resultater - Østdanmark'!I105</f>
        <v>1845.4838238320724</v>
      </c>
      <c r="J105" s="300">
        <f>'Resultater - Vestdanmark'!J105+'Resultater - Østdanmark'!J105</f>
        <v>-22.521496543446339</v>
      </c>
    </row>
    <row r="106" spans="1:10" x14ac:dyDescent="0.25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98">
        <f>'Resultater - Vestdanmark'!H106+'Resultater - Østdanmark'!H106</f>
        <v>148922.51453359297</v>
      </c>
      <c r="I106" s="299">
        <f>'Resultater - Vestdanmark'!I106+'Resultater - Østdanmark'!I106</f>
        <v>40902.654770615889</v>
      </c>
      <c r="J106" s="300">
        <f>'Resultater - Vestdanmark'!J106+'Resultater - Østdanmark'!J106</f>
        <v>-499.1585329214065</v>
      </c>
    </row>
    <row r="107" spans="1:10" x14ac:dyDescent="0.25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98">
        <f>'Resultater - Vestdanmark'!H107+'Resultater - Østdanmark'!H107</f>
        <v>220000</v>
      </c>
      <c r="I107" s="299">
        <f>'Resultater - Vestdanmark'!I107+'Resultater - Østdanmark'!I107</f>
        <v>60424.604551688877</v>
      </c>
      <c r="J107" s="300">
        <f>'Resultater - Vestdanmark'!J107+'Resultater - Østdanmark'!J107</f>
        <v>-737.39607195484268</v>
      </c>
    </row>
    <row r="108" spans="1:10" x14ac:dyDescent="0.25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98">
        <f>'Resultater - Vestdanmark'!H108+'Resultater - Østdanmark'!H108</f>
        <v>9291.4831667730468</v>
      </c>
      <c r="I108" s="299">
        <f>'Resultater - Vestdanmark'!I108+'Resultater - Østdanmark'!I108</f>
        <v>2551.9736184133421</v>
      </c>
      <c r="J108" s="300">
        <f>'Resultater - Vestdanmark'!J108+'Resultater - Østdanmark'!J108</f>
        <v>-31.143196317331761</v>
      </c>
    </row>
    <row r="109" spans="1:10" x14ac:dyDescent="0.25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98">
        <f>'Resultater - Vestdanmark'!H109+'Resultater - Østdanmark'!H109</f>
        <v>-365582337.12</v>
      </c>
      <c r="I109" s="299">
        <f>'Resultater - Vestdanmark'!I109+'Resultater - Østdanmark'!I109</f>
        <v>-100409855.23435551</v>
      </c>
      <c r="J109" s="300">
        <f>'Resultater - Vestdanmark'!J109+'Resultater - Østdanmark'!J109</f>
        <v>1225358.997128905</v>
      </c>
    </row>
    <row r="110" spans="1:10" x14ac:dyDescent="0.25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98">
        <f>'Resultater - Vestdanmark'!H110+'Resultater - Østdanmark'!H110</f>
        <v>-8664.776171999998</v>
      </c>
      <c r="I110" s="299">
        <f>'Resultater - Vestdanmark'!I110+'Resultater - Østdanmark'!I110</f>
        <v>-2379.8439714636202</v>
      </c>
      <c r="J110" s="300">
        <f>'Resultater - Vestdanmark'!J110+'Resultater - Østdanmark'!J110</f>
        <v>29.042599607275992</v>
      </c>
    </row>
    <row r="111" spans="1:10" x14ac:dyDescent="0.25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98">
        <f>'Resultater - Vestdanmark'!H111+'Resultater - Østdanmark'!H111</f>
        <v>14116.474844810102</v>
      </c>
      <c r="I111" s="299">
        <f>'Resultater - Vestdanmark'!I111+'Resultater - Østdanmark'!I111</f>
        <v>3877.1927734614274</v>
      </c>
      <c r="J111" s="300">
        <f>'Resultater - Vestdanmark'!J111+'Resultater - Østdanmark'!J111</f>
        <v>-47.315605001874161</v>
      </c>
    </row>
    <row r="112" spans="1:10" x14ac:dyDescent="0.25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98">
        <f>'Resultater - Vestdanmark'!H112+'Resultater - Østdanmark'!H112</f>
        <v>1224707</v>
      </c>
      <c r="I112" s="299">
        <f>'Resultater - Vestdanmark'!I112+'Resultater - Østdanmark'!I112</f>
        <v>2278236.3958760565</v>
      </c>
      <c r="J112" s="300">
        <f>'Resultater - Vestdanmark'!J112+'Resultater - Østdanmark'!J112</f>
        <v>886515.82501613104</v>
      </c>
    </row>
    <row r="113" spans="1:10" x14ac:dyDescent="0.25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98">
        <f>'Resultater - Vestdanmark'!H113+'Resultater - Østdanmark'!H113</f>
        <v>2163.7761961313831</v>
      </c>
      <c r="I113" s="299">
        <f>'Resultater - Vestdanmark'!I113+'Resultater - Østdanmark'!I113</f>
        <v>4025.1208514010009</v>
      </c>
      <c r="J113" s="300">
        <f>'Resultater - Vestdanmark'!J113+'Resultater - Østdanmark'!J113</f>
        <v>1566.2700055308567</v>
      </c>
    </row>
    <row r="114" spans="1:10" x14ac:dyDescent="0.25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98">
        <f>'Resultater - Vestdanmark'!H114+'Resultater - Østdanmark'!H114</f>
        <v>8147.4854664070526</v>
      </c>
      <c r="I114" s="299">
        <f>'Resultater - Vestdanmark'!I114+'Resultater - Østdanmark'!I114</f>
        <v>15156.194848596238</v>
      </c>
      <c r="J114" s="300">
        <f>'Resultater - Vestdanmark'!J114+'Resultater - Østdanmark'!J114</f>
        <v>5897.6349445694232</v>
      </c>
    </row>
    <row r="115" spans="1:10" x14ac:dyDescent="0.25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98">
        <f>'Resultater - Vestdanmark'!H115+'Resultater - Østdanmark'!H115</f>
        <v>15000</v>
      </c>
      <c r="I115" s="299">
        <f>'Resultater - Vestdanmark'!I115+'Resultater - Østdanmark'!I115</f>
        <v>27903.446243175586</v>
      </c>
      <c r="J115" s="300">
        <f>'Resultater - Vestdanmark'!J115+'Resultater - Østdanmark'!J115</f>
        <v>10857.892847221388</v>
      </c>
    </row>
    <row r="116" spans="1:10" x14ac:dyDescent="0.25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98">
        <f>'Resultater - Vestdanmark'!H116+'Resultater - Østdanmark'!H116</f>
        <v>1539.2752332269538</v>
      </c>
      <c r="I116" s="299">
        <f>'Resultater - Vestdanmark'!I116+'Resultater - Østdanmark'!I116</f>
        <v>2863.4055815866582</v>
      </c>
      <c r="J116" s="300">
        <f>'Resultater - Vestdanmark'!J116+'Resultater - Østdanmark'!J116</f>
        <v>1114.2190363173318</v>
      </c>
    </row>
    <row r="117" spans="1:10" x14ac:dyDescent="0.25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98">
        <f>'Resultater - Vestdanmark'!H117+'Resultater - Østdanmark'!H117</f>
        <v>-60564263.759999998</v>
      </c>
      <c r="I117" s="299">
        <f>'Resultater - Vestdanmark'!I117+'Resultater - Østdanmark'!I117</f>
        <v>-112663445.2056445</v>
      </c>
      <c r="J117" s="300">
        <f>'Resultater - Vestdanmark'!J117+'Resultater - Østdanmark'!J117</f>
        <v>-43840019.085128903</v>
      </c>
    </row>
    <row r="118" spans="1:10" x14ac:dyDescent="0.25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98">
        <f>'Resultater - Vestdanmark'!H118+'Resultater - Østdanmark'!H118</f>
        <v>-2703.7617749999999</v>
      </c>
      <c r="I118" s="299">
        <f>'Resultater - Vestdanmark'!I118+'Resultater - Østdanmark'!I118</f>
        <v>-5029.6180895377011</v>
      </c>
      <c r="J118" s="300">
        <f>'Resultater - Vestdanmark'!J118+'Resultater - Østdanmark'!J118</f>
        <v>-1957.1437091575403</v>
      </c>
    </row>
    <row r="119" spans="1:10" x14ac:dyDescent="0.25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98">
        <f>'Resultater - Vestdanmark'!H119+'Resultater - Østdanmark'!H119</f>
        <v>2572.4691839803959</v>
      </c>
      <c r="I119" s="299">
        <f>'Resultater - Vestdanmark'!I119+'Resultater - Østdanmark'!I119</f>
        <v>4785.3837058281833</v>
      </c>
      <c r="J119" s="300">
        <f>'Resultater - Vestdanmark'!J119+'Resultater - Østdanmark'!J119</f>
        <v>1862.1063168292123</v>
      </c>
    </row>
    <row r="120" spans="1:10" hidden="1" x14ac:dyDescent="0.25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98">
        <f>'Resultater - Vestdanmark'!H120+'Resultater - Østdanmark'!H120</f>
        <v>8030838.3925888147</v>
      </c>
      <c r="I120" s="299">
        <f>'Resultater - Vestdanmark'!I120+'Resultater - Østdanmark'!I120</f>
        <v>2423799.8158650398</v>
      </c>
      <c r="J120" s="300">
        <f>'Resultater - Vestdanmark'!J120+'Resultater - Østdanmark'!J120</f>
        <v>0</v>
      </c>
    </row>
    <row r="121" spans="1:10" hidden="1" x14ac:dyDescent="0.25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98">
        <f>'Resultater - Vestdanmark'!H121+'Resultater - Østdanmark'!H121</f>
        <v>2621245.5742450082</v>
      </c>
      <c r="I121" s="299">
        <f>'Resultater - Vestdanmark'!I121+'Resultater - Østdanmark'!I121</f>
        <v>733696.86590317683</v>
      </c>
      <c r="J121" s="300">
        <f>'Resultater - Vestdanmark'!J121+'Resultater - Østdanmark'!J121</f>
        <v>0</v>
      </c>
    </row>
    <row r="122" spans="1:10" hidden="1" x14ac:dyDescent="0.25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98">
        <f>'Resultater - Vestdanmark'!H122+'Resultater - Østdanmark'!H122</f>
        <v>-183300163.02627823</v>
      </c>
      <c r="I122" s="299">
        <f>'Resultater - Vestdanmark'!I122+'Resultater - Østdanmark'!I122</f>
        <v>-51606443.159346774</v>
      </c>
      <c r="J122" s="300">
        <f>'Resultater - Vestdanmark'!J122+'Resultater - Østdanmark'!J122</f>
        <v>0</v>
      </c>
    </row>
    <row r="123" spans="1:10" hidden="1" x14ac:dyDescent="0.25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98">
        <f>'Resultater - Vestdanmark'!H123+'Resultater - Østdanmark'!H123</f>
        <v>2604803.426450097</v>
      </c>
      <c r="I123" s="299">
        <f>'Resultater - Vestdanmark'!I123+'Resultater - Østdanmark'!I123</f>
        <v>733357.99460853334</v>
      </c>
      <c r="J123" s="300">
        <f>'Resultater - Vestdanmark'!J123+'Resultater - Østdanmark'!J123</f>
        <v>0</v>
      </c>
    </row>
    <row r="124" spans="1:10" hidden="1" x14ac:dyDescent="0.25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98">
        <f>'Resultater - Vestdanmark'!H124+'Resultater - Østdanmark'!H124</f>
        <v>225935.04552207049</v>
      </c>
      <c r="I124" s="299">
        <f>'Resultater - Vestdanmark'!I124+'Resultater - Østdanmark'!I124</f>
        <v>0</v>
      </c>
      <c r="J124" s="300">
        <f>'Resultater - Vestdanmark'!J124+'Resultater - Østdanmark'!J124</f>
        <v>0</v>
      </c>
    </row>
    <row r="125" spans="1:10" hidden="1" x14ac:dyDescent="0.25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98">
        <f>'Resultater - Vestdanmark'!H125+'Resultater - Østdanmark'!H125</f>
        <v>73744.634020790007</v>
      </c>
      <c r="I125" s="299">
        <f>'Resultater - Vestdanmark'!I125+'Resultater - Østdanmark'!I125</f>
        <v>0</v>
      </c>
      <c r="J125" s="300">
        <f>'Resultater - Vestdanmark'!J125+'Resultater - Østdanmark'!J125</f>
        <v>0</v>
      </c>
    </row>
    <row r="126" spans="1:10" hidden="1" x14ac:dyDescent="0.25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98">
        <f>'Resultater - Vestdanmark'!H126+'Resultater - Østdanmark'!H126</f>
        <v>-3491625.762942126</v>
      </c>
      <c r="I126" s="299">
        <f>'Resultater - Vestdanmark'!I126+'Resultater - Østdanmark'!I126</f>
        <v>0</v>
      </c>
      <c r="J126" s="300">
        <f>'Resultater - Vestdanmark'!J126+'Resultater - Østdanmark'!J126</f>
        <v>0</v>
      </c>
    </row>
    <row r="127" spans="1:10" hidden="1" x14ac:dyDescent="0.25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98">
        <f>'Resultater - Vestdanmark'!H127+'Resultater - Østdanmark'!H127</f>
        <v>429515.47728160548</v>
      </c>
      <c r="I127" s="299">
        <f>'Resultater - Vestdanmark'!I127+'Resultater - Østdanmark'!I127</f>
        <v>0</v>
      </c>
      <c r="J127" s="300">
        <f>'Resultater - Vestdanmark'!J127+'Resultater - Østdanmark'!J127</f>
        <v>0</v>
      </c>
    </row>
    <row r="128" spans="1:10" hidden="1" x14ac:dyDescent="0.25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98">
        <f>'Resultater - Vestdanmark'!H128+'Resultater - Østdanmark'!H128</f>
        <v>134184.5342649988</v>
      </c>
      <c r="I128" s="299">
        <f>'Resultater - Vestdanmark'!I128+'Resultater - Østdanmark'!I128</f>
        <v>0</v>
      </c>
      <c r="J128" s="300">
        <f>'Resultater - Vestdanmark'!J128+'Resultater - Østdanmark'!J128</f>
        <v>0</v>
      </c>
    </row>
    <row r="129" spans="1:10" hidden="1" x14ac:dyDescent="0.25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98">
        <f>'Resultater - Vestdanmark'!H129+'Resultater - Østdanmark'!H129</f>
        <v>43797.49652275996</v>
      </c>
      <c r="I129" s="299">
        <f>'Resultater - Vestdanmark'!I129+'Resultater - Østdanmark'!I129</f>
        <v>0</v>
      </c>
      <c r="J129" s="300">
        <f>'Resultater - Vestdanmark'!J129+'Resultater - Østdanmark'!J129</f>
        <v>0</v>
      </c>
    </row>
    <row r="130" spans="1:10" hidden="1" x14ac:dyDescent="0.25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98">
        <f>'Resultater - Vestdanmark'!H130+'Resultater - Østdanmark'!H130</f>
        <v>-1367276.6890666278</v>
      </c>
      <c r="I130" s="299">
        <f>'Resultater - Vestdanmark'!I130+'Resultater - Østdanmark'!I130</f>
        <v>0</v>
      </c>
      <c r="J130" s="300">
        <f>'Resultater - Vestdanmark'!J130+'Resultater - Østdanmark'!J130</f>
        <v>0</v>
      </c>
    </row>
    <row r="131" spans="1:10" hidden="1" x14ac:dyDescent="0.25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98">
        <f>'Resultater - Vestdanmark'!H131+'Resultater - Østdanmark'!H131</f>
        <v>559922.97086443973</v>
      </c>
      <c r="I131" s="299">
        <f>'Resultater - Vestdanmark'!I131+'Resultater - Østdanmark'!I131</f>
        <v>0</v>
      </c>
      <c r="J131" s="300">
        <f>'Resultater - Vestdanmark'!J131+'Resultater - Østdanmark'!J131</f>
        <v>0</v>
      </c>
    </row>
    <row r="132" spans="1:10" hidden="1" x14ac:dyDescent="0.25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98">
        <f>'Resultater - Vestdanmark'!H132+'Resultater - Østdanmark'!H132</f>
        <v>687979.55575600604</v>
      </c>
      <c r="I132" s="299">
        <f>'Resultater - Vestdanmark'!I132+'Resultater - Østdanmark'!I132</f>
        <v>1623945.876629577</v>
      </c>
      <c r="J132" s="300">
        <f>'Resultater - Vestdanmark'!J132+'Resultater - Østdanmark'!J132</f>
        <v>1428409.9507305357</v>
      </c>
    </row>
    <row r="133" spans="1:10" hidden="1" x14ac:dyDescent="0.25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98">
        <f>'Resultater - Vestdanmark'!H133+'Resultater - Østdanmark'!H133</f>
        <v>224554.80704987101</v>
      </c>
      <c r="I133" s="299">
        <f>'Resultater - Vestdanmark'!I133+'Resultater - Østdanmark'!I133</f>
        <v>491576.90015512845</v>
      </c>
      <c r="J133" s="300">
        <f>'Resultater - Vestdanmark'!J133+'Resultater - Østdanmark'!J133</f>
        <v>432387.15392915934</v>
      </c>
    </row>
    <row r="134" spans="1:10" hidden="1" x14ac:dyDescent="0.25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98">
        <f>'Resultater - Vestdanmark'!H134+'Resultater - Østdanmark'!H134</f>
        <v>-15702814.396713404</v>
      </c>
      <c r="I134" s="299">
        <f>'Resultater - Vestdanmark'!I134+'Resultater - Østdanmark'!I134</f>
        <v>-34576316.916762337</v>
      </c>
      <c r="J134" s="300">
        <f>'Resultater - Vestdanmark'!J134+'Resultater - Østdanmark'!J134</f>
        <v>-30413054.92644912</v>
      </c>
    </row>
    <row r="135" spans="1:10" hidden="1" x14ac:dyDescent="0.25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98">
        <f>'Resultater - Vestdanmark'!H135+'Resultater - Østdanmark'!H135</f>
        <v>333054.11051750812</v>
      </c>
      <c r="I135" s="299">
        <f>'Resultater - Vestdanmark'!I135+'Resultater - Østdanmark'!I135</f>
        <v>733357.99460853334</v>
      </c>
      <c r="J135" s="300">
        <f>'Resultater - Vestdanmark'!J135+'Resultater - Østdanmark'!J135</f>
        <v>645055.89257736283</v>
      </c>
    </row>
    <row r="136" spans="1:10" hidden="1" x14ac:dyDescent="0.25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98">
        <f>'Resultater - Vestdanmark'!H136+'Resultater - Østdanmark'!H136</f>
        <v>19355.226023653049</v>
      </c>
      <c r="I136" s="299">
        <f>'Resultater - Vestdanmark'!I136+'Resultater - Østdanmark'!I136</f>
        <v>0</v>
      </c>
      <c r="J136" s="300">
        <f>'Resultater - Vestdanmark'!J136+'Resultater - Østdanmark'!J136</f>
        <v>0</v>
      </c>
    </row>
    <row r="137" spans="1:10" hidden="1" x14ac:dyDescent="0.25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98">
        <f>'Resultater - Vestdanmark'!H137+'Resultater - Østdanmark'!H137</f>
        <v>6317.4973860552982</v>
      </c>
      <c r="I137" s="299">
        <f>'Resultater - Vestdanmark'!I137+'Resultater - Østdanmark'!I137</f>
        <v>0</v>
      </c>
      <c r="J137" s="300">
        <f>'Resultater - Vestdanmark'!J137+'Resultater - Østdanmark'!J137</f>
        <v>0</v>
      </c>
    </row>
    <row r="138" spans="1:10" hidden="1" x14ac:dyDescent="0.25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98">
        <f>'Resultater - Vestdanmark'!H138+'Resultater - Østdanmark'!H138</f>
        <v>-299117.85343258409</v>
      </c>
      <c r="I138" s="299">
        <f>'Resultater - Vestdanmark'!I138+'Resultater - Østdanmark'!I138</f>
        <v>0</v>
      </c>
      <c r="J138" s="300">
        <f>'Resultater - Vestdanmark'!J138+'Resultater - Østdanmark'!J138</f>
        <v>0</v>
      </c>
    </row>
    <row r="139" spans="1:10" hidden="1" x14ac:dyDescent="0.25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98">
        <f>'Resultater - Vestdanmark'!H139+'Resultater - Østdanmark'!H139</f>
        <v>54918.499333549895</v>
      </c>
      <c r="I139" s="299">
        <f>'Resultater - Vestdanmark'!I139+'Resultater - Østdanmark'!I139</f>
        <v>0</v>
      </c>
      <c r="J139" s="300">
        <f>'Resultater - Vestdanmark'!J139+'Resultater - Østdanmark'!J139</f>
        <v>0</v>
      </c>
    </row>
    <row r="140" spans="1:10" hidden="1" x14ac:dyDescent="0.25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98">
        <f>'Resultater - Vestdanmark'!H140+'Resultater - Østdanmark'!H140</f>
        <v>11495.215288873653</v>
      </c>
      <c r="I140" s="299">
        <f>'Resultater - Vestdanmark'!I140+'Resultater - Østdanmark'!I140</f>
        <v>0</v>
      </c>
      <c r="J140" s="300">
        <f>'Resultater - Vestdanmark'!J140+'Resultater - Østdanmark'!J140</f>
        <v>0</v>
      </c>
    </row>
    <row r="141" spans="1:10" hidden="1" x14ac:dyDescent="0.25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98">
        <f>'Resultater - Vestdanmark'!H141+'Resultater - Østdanmark'!H141</f>
        <v>3752.0095322501388</v>
      </c>
      <c r="I141" s="299">
        <f>'Resultater - Vestdanmark'!I141+'Resultater - Østdanmark'!I141</f>
        <v>0</v>
      </c>
      <c r="J141" s="300">
        <f>'Resultater - Vestdanmark'!J141+'Resultater - Østdanmark'!J141</f>
        <v>0</v>
      </c>
    </row>
    <row r="142" spans="1:10" hidden="1" x14ac:dyDescent="0.25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98">
        <f>'Resultater - Vestdanmark'!H142+'Resultater - Østdanmark'!H142</f>
        <v>-117130.7854990183</v>
      </c>
      <c r="I142" s="299">
        <f>'Resultater - Vestdanmark'!I142+'Resultater - Østdanmark'!I142</f>
        <v>0</v>
      </c>
      <c r="J142" s="300">
        <f>'Resultater - Vestdanmark'!J142+'Resultater - Østdanmark'!J142</f>
        <v>0</v>
      </c>
    </row>
    <row r="143" spans="1:10" hidden="1" x14ac:dyDescent="0.25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98">
        <f>'Resultater - Vestdanmark'!H143+'Resultater - Østdanmark'!H143</f>
        <v>71592.598937004383</v>
      </c>
      <c r="I143" s="299">
        <f>'Resultater - Vestdanmark'!I143+'Resultater - Østdanmark'!I143</f>
        <v>0</v>
      </c>
      <c r="J143" s="300">
        <f>'Resultater - Vestdanmark'!J143+'Resultater - Østdanmark'!J143</f>
        <v>0</v>
      </c>
    </row>
    <row r="144" spans="1:10" hidden="1" x14ac:dyDescent="0.25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98">
        <f>'Resultater - Vestdanmark'!H144+'Resultater - Østdanmark'!H144</f>
        <v>230147.57425814544</v>
      </c>
      <c r="I144" s="299">
        <f>'Resultater - Vestdanmark'!I144+'Resultater - Østdanmark'!I144</f>
        <v>568085.67589351162</v>
      </c>
      <c r="J144" s="300">
        <f>'Resultater - Vestdanmark'!J144+'Resultater - Østdanmark'!J144</f>
        <v>0</v>
      </c>
    </row>
    <row r="145" spans="1:10" hidden="1" x14ac:dyDescent="0.25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98">
        <f>'Resultater - Vestdanmark'!H145+'Resultater - Østdanmark'!H145</f>
        <v>-2232747.9829002842</v>
      </c>
      <c r="I145" s="299">
        <f>'Resultater - Vestdanmark'!I145+'Resultater - Østdanmark'!I145</f>
        <v>-5141056.2698571812</v>
      </c>
      <c r="J145" s="300">
        <f>'Resultater - Vestdanmark'!J145+'Resultater - Østdanmark'!J145</f>
        <v>0</v>
      </c>
    </row>
    <row r="146" spans="1:10" hidden="1" x14ac:dyDescent="0.25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98">
        <f>'Resultater - Vestdanmark'!H146+'Resultater - Østdanmark'!H146</f>
        <v>25382.932563674498</v>
      </c>
      <c r="I146" s="299">
        <f>'Resultater - Vestdanmark'!I146+'Resultater - Østdanmark'!I146</f>
        <v>58445.953418500423</v>
      </c>
      <c r="J146" s="300">
        <f>'Resultater - Vestdanmark'!J146+'Resultater - Østdanmark'!J146</f>
        <v>0</v>
      </c>
    </row>
    <row r="147" spans="1:10" hidden="1" x14ac:dyDescent="0.25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98">
        <f>'Resultater - Vestdanmark'!H147+'Resultater - Østdanmark'!H147</f>
        <v>2806.7295229677611</v>
      </c>
      <c r="I147" s="299">
        <f>'Resultater - Vestdanmark'!I147+'Resultater - Østdanmark'!I147</f>
        <v>0</v>
      </c>
      <c r="J147" s="300">
        <f>'Resultater - Vestdanmark'!J147+'Resultater - Østdanmark'!J147</f>
        <v>0</v>
      </c>
    </row>
    <row r="148" spans="1:10" hidden="1" x14ac:dyDescent="0.25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98">
        <f>'Resultater - Vestdanmark'!H148+'Resultater - Østdanmark'!H148</f>
        <v>-22123.673287397512</v>
      </c>
      <c r="I148" s="299">
        <f>'Resultater - Vestdanmark'!I148+'Resultater - Østdanmark'!I148</f>
        <v>0</v>
      </c>
      <c r="J148" s="300">
        <f>'Resultater - Vestdanmark'!J148+'Resultater - Østdanmark'!J148</f>
        <v>0</v>
      </c>
    </row>
    <row r="149" spans="1:10" hidden="1" x14ac:dyDescent="0.25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98">
        <f>'Resultater - Vestdanmark'!H149+'Resultater - Østdanmark'!H149</f>
        <v>1814.3334435803249</v>
      </c>
      <c r="I149" s="299">
        <f>'Resultater - Vestdanmark'!I149+'Resultater - Østdanmark'!I149</f>
        <v>0</v>
      </c>
      <c r="J149" s="300">
        <f>'Resultater - Vestdanmark'!J149+'Resultater - Østdanmark'!J149</f>
        <v>0</v>
      </c>
    </row>
    <row r="150" spans="1:10" hidden="1" x14ac:dyDescent="0.25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98">
        <f>'Resultater - Vestdanmark'!H150+'Resultater - Østdanmark'!H150</f>
        <v>843.56496811604438</v>
      </c>
      <c r="I150" s="299">
        <f>'Resultater - Vestdanmark'!I150+'Resultater - Østdanmark'!I150</f>
        <v>0</v>
      </c>
      <c r="J150" s="300">
        <f>'Resultater - Vestdanmark'!J150+'Resultater - Østdanmark'!J150</f>
        <v>0</v>
      </c>
    </row>
    <row r="151" spans="1:10" hidden="1" x14ac:dyDescent="0.25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98">
        <f>'Resultater - Vestdanmark'!H151+'Resultater - Østdanmark'!H151</f>
        <v>-5553.2523541027549</v>
      </c>
      <c r="I151" s="299">
        <f>'Resultater - Vestdanmark'!I151+'Resultater - Østdanmark'!I151</f>
        <v>0</v>
      </c>
      <c r="J151" s="300">
        <f>'Resultater - Vestdanmark'!J151+'Resultater - Østdanmark'!J151</f>
        <v>0</v>
      </c>
    </row>
    <row r="152" spans="1:10" hidden="1" x14ac:dyDescent="0.25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98">
        <f>'Resultater - Vestdanmark'!H152+'Resultater - Østdanmark'!H152</f>
        <v>1196.9215428986058</v>
      </c>
      <c r="I152" s="299">
        <f>'Resultater - Vestdanmark'!I152+'Resultater - Østdanmark'!I152</f>
        <v>0</v>
      </c>
      <c r="J152" s="300">
        <f>'Resultater - Vestdanmark'!J152+'Resultater - Østdanmark'!J152</f>
        <v>0</v>
      </c>
    </row>
    <row r="153" spans="1:10" hidden="1" x14ac:dyDescent="0.25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98">
        <f>'Resultater - Vestdanmark'!H153+'Resultater - Østdanmark'!H153</f>
        <v>16773.399891430559</v>
      </c>
      <c r="I153" s="299">
        <f>'Resultater - Vestdanmark'!I153+'Resultater - Østdanmark'!I153</f>
        <v>323808.83525930159</v>
      </c>
      <c r="J153" s="300">
        <f>'Resultater - Vestdanmark'!J153+'Resultater - Østdanmark'!J153</f>
        <v>508091.18443451088</v>
      </c>
    </row>
    <row r="154" spans="1:10" hidden="1" x14ac:dyDescent="0.25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98">
        <f>'Resultater - Vestdanmark'!H154+'Resultater - Østdanmark'!H154</f>
        <v>-162725.04672139056</v>
      </c>
      <c r="I154" s="299">
        <f>'Resultater - Vestdanmark'!I154+'Resultater - Østdanmark'!I154</f>
        <v>-2930402.0738185928</v>
      </c>
      <c r="J154" s="300">
        <f>'Resultater - Vestdanmark'!J154+'Resultater - Østdanmark'!J154</f>
        <v>-4598118.6997678317</v>
      </c>
    </row>
    <row r="155" spans="1:10" hidden="1" x14ac:dyDescent="0.25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98">
        <f>'Resultater - Vestdanmark'!H155+'Resultater - Østdanmark'!H155</f>
        <v>3245.5001945546865</v>
      </c>
      <c r="I155" s="299">
        <f>'Resultater - Vestdanmark'!I155+'Resultater - Østdanmark'!I155</f>
        <v>58445.953418500423</v>
      </c>
      <c r="J155" s="300">
        <f>'Resultater - Vestdanmark'!J155+'Resultater - Østdanmark'!J155</f>
        <v>91708.040251681494</v>
      </c>
    </row>
    <row r="156" spans="1:10" hidden="1" x14ac:dyDescent="0.25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98">
        <f>'Resultater - Vestdanmark'!H156+'Resultater - Østdanmark'!H156</f>
        <v>204.5574315852524</v>
      </c>
      <c r="I156" s="299">
        <f>'Resultater - Vestdanmark'!I156+'Resultater - Østdanmark'!I156</f>
        <v>0</v>
      </c>
      <c r="J156" s="300">
        <f>'Resultater - Vestdanmark'!J156+'Resultater - Østdanmark'!J156</f>
        <v>0</v>
      </c>
    </row>
    <row r="157" spans="1:10" hidden="1" x14ac:dyDescent="0.25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98">
        <f>'Resultater - Vestdanmark'!H157+'Resultater - Østdanmark'!H157</f>
        <v>-1612.3968297864642</v>
      </c>
      <c r="I157" s="299">
        <f>'Resultater - Vestdanmark'!I157+'Resultater - Østdanmark'!I157</f>
        <v>0</v>
      </c>
      <c r="J157" s="300">
        <f>'Resultater - Vestdanmark'!J157+'Resultater - Østdanmark'!J157</f>
        <v>0</v>
      </c>
    </row>
    <row r="158" spans="1:10" hidden="1" x14ac:dyDescent="0.25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98">
        <f>'Resultater - Vestdanmark'!H158+'Resultater - Østdanmark'!H158</f>
        <v>231.98342151189939</v>
      </c>
      <c r="I158" s="299">
        <f>'Resultater - Vestdanmark'!I158+'Resultater - Østdanmark'!I158</f>
        <v>0</v>
      </c>
      <c r="J158" s="300">
        <f>'Resultater - Vestdanmark'!J158+'Resultater - Østdanmark'!J158</f>
        <v>0</v>
      </c>
    </row>
    <row r="159" spans="1:10" hidden="1" x14ac:dyDescent="0.25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98">
        <f>'Resultater - Vestdanmark'!H159+'Resultater - Østdanmark'!H159</f>
        <v>61.479911705441317</v>
      </c>
      <c r="I159" s="299">
        <f>'Resultater - Vestdanmark'!I159+'Resultater - Østdanmark'!I159</f>
        <v>0</v>
      </c>
      <c r="J159" s="300">
        <f>'Resultater - Vestdanmark'!J159+'Resultater - Østdanmark'!J159</f>
        <v>0</v>
      </c>
    </row>
    <row r="160" spans="1:10" hidden="1" x14ac:dyDescent="0.25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98">
        <f>'Resultater - Vestdanmark'!H160+'Resultater - Østdanmark'!H160</f>
        <v>-404.72693546148446</v>
      </c>
      <c r="I160" s="299">
        <f>'Resultater - Vestdanmark'!I160+'Resultater - Østdanmark'!I160</f>
        <v>0</v>
      </c>
      <c r="J160" s="300">
        <f>'Resultater - Vestdanmark'!J160+'Resultater - Østdanmark'!J160</f>
        <v>0</v>
      </c>
    </row>
    <row r="161" spans="1:10" hidden="1" x14ac:dyDescent="0.25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98">
        <f>'Resultater - Vestdanmark'!H161+'Resultater - Østdanmark'!H161</f>
        <v>153.04020095390325</v>
      </c>
      <c r="I161" s="299">
        <f>'Resultater - Vestdanmark'!I161+'Resultater - Østdanmark'!I161</f>
        <v>0</v>
      </c>
      <c r="J161" s="300">
        <f>'Resultater - Vestdanmark'!J161+'Resultater - Østdanmark'!J161</f>
        <v>0</v>
      </c>
    </row>
    <row r="162" spans="1:10" x14ac:dyDescent="0.25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98">
        <f>'Resultater - Vestdanmark'!H162+'Resultater - Østdanmark'!H162</f>
        <v>27749.688657763778</v>
      </c>
      <c r="I162" s="299">
        <f>'Resultater - Vestdanmark'!I162+'Resultater - Østdanmark'!I162</f>
        <v>63089.236877966257</v>
      </c>
      <c r="J162" s="300">
        <f>'Resultater - Vestdanmark'!J162+'Resultater - Østdanmark'!J162</f>
        <v>0</v>
      </c>
    </row>
    <row r="163" spans="1:10" x14ac:dyDescent="0.25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98">
        <f>'Resultater - Vestdanmark'!H163+'Resultater - Østdanmark'!H163</f>
        <v>-23743486.815882854</v>
      </c>
      <c r="I163" s="299">
        <f>'Resultater - Vestdanmark'!I163+'Resultater - Østdanmark'!I163</f>
        <v>-53981090.8335004</v>
      </c>
      <c r="J163" s="300">
        <f>'Resultater - Vestdanmark'!J163+'Resultater - Østdanmark'!J163</f>
        <v>0</v>
      </c>
    </row>
    <row r="164" spans="1:10" x14ac:dyDescent="0.25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98">
        <f>'Resultater - Vestdanmark'!H164+'Resultater - Østdanmark'!H164</f>
        <v>5141.4697369274418</v>
      </c>
      <c r="I164" s="299">
        <f>'Resultater - Vestdanmark'!I164+'Resultater - Østdanmark'!I164</f>
        <v>11689.190683700084</v>
      </c>
      <c r="J164" s="300">
        <f>'Resultater - Vestdanmark'!J164+'Resultater - Østdanmark'!J164</f>
        <v>0</v>
      </c>
    </row>
    <row r="165" spans="1:10" x14ac:dyDescent="0.25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98">
        <f>'Resultater - Vestdanmark'!H165+'Resultater - Østdanmark'!H165</f>
        <v>2022.4268112306345</v>
      </c>
      <c r="I165" s="299">
        <f>'Resultater - Vestdanmark'!I165+'Resultater - Østdanmark'!I165</f>
        <v>35960.86502044076</v>
      </c>
      <c r="J165" s="300">
        <f>'Resultater - Vestdanmark'!J165+'Resultater - Østdanmark'!J165</f>
        <v>56426.497710891177</v>
      </c>
    </row>
    <row r="166" spans="1:10" x14ac:dyDescent="0.25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98">
        <f>'Resultater - Vestdanmark'!H166+'Resultater - Østdanmark'!H166</f>
        <v>-1730450.5618338804</v>
      </c>
      <c r="I166" s="299">
        <f>'Resultater - Vestdanmark'!I166+'Resultater - Østdanmark'!I166</f>
        <v>-30769221.775095228</v>
      </c>
      <c r="J166" s="300">
        <f>'Resultater - Vestdanmark'!J166+'Resultater - Østdanmark'!J166</f>
        <v>-48280246.347562239</v>
      </c>
    </row>
    <row r="167" spans="1:10" x14ac:dyDescent="0.25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98">
        <f>'Resultater - Vestdanmark'!H167+'Resultater - Østdanmark'!H167</f>
        <v>657.39610620781025</v>
      </c>
      <c r="I167" s="299">
        <f>'Resultater - Vestdanmark'!I167+'Resultater - Østdanmark'!I167</f>
        <v>11689.190683700084</v>
      </c>
      <c r="J167" s="300">
        <f>'Resultater - Vestdanmark'!J167+'Resultater - Østdanmark'!J167</f>
        <v>18341.608050336301</v>
      </c>
    </row>
    <row r="168" spans="1:10" hidden="1" x14ac:dyDescent="0.25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98">
        <f>'Resultater - Vestdanmark'!H168+'Resultater - Østdanmark'!H168</f>
        <v>1955168.9801122241</v>
      </c>
      <c r="I168" s="299">
        <f>'Resultater - Vestdanmark'!I168+'Resultater - Østdanmark'!I168</f>
        <v>891450.97862571187</v>
      </c>
      <c r="J168" s="300">
        <f>'Resultater - Vestdanmark'!J168+'Resultater - Østdanmark'!J168</f>
        <v>0</v>
      </c>
    </row>
    <row r="169" spans="1:10" hidden="1" x14ac:dyDescent="0.25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98">
        <f>'Resultater - Vestdanmark'!H169+'Resultater - Østdanmark'!H169</f>
        <v>-6905324.6027384531</v>
      </c>
      <c r="I169" s="299">
        <f>'Resultater - Vestdanmark'!I169+'Resultater - Østdanmark'!I169</f>
        <v>-2936990.0889580376</v>
      </c>
      <c r="J169" s="300">
        <f>'Resultater - Vestdanmark'!J169+'Resultater - Østdanmark'!J169</f>
        <v>0</v>
      </c>
    </row>
    <row r="170" spans="1:10" hidden="1" x14ac:dyDescent="0.25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98">
        <f>'Resultater - Vestdanmark'!H170+'Resultater - Østdanmark'!H170</f>
        <v>104670.65103270129</v>
      </c>
      <c r="I170" s="299">
        <f>'Resultater - Vestdanmark'!I170+'Resultater - Østdanmark'!I170</f>
        <v>44518.785484163411</v>
      </c>
      <c r="J170" s="300">
        <f>'Resultater - Vestdanmark'!J170+'Resultater - Østdanmark'!J170</f>
        <v>0</v>
      </c>
    </row>
    <row r="171" spans="1:10" hidden="1" x14ac:dyDescent="0.25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98">
        <f>'Resultater - Vestdanmark'!H171+'Resultater - Østdanmark'!H171</f>
        <v>76780.532840637781</v>
      </c>
      <c r="I171" s="299">
        <f>'Resultater - Vestdanmark'!I171+'Resultater - Østdanmark'!I171</f>
        <v>0</v>
      </c>
      <c r="J171" s="300">
        <f>'Resultater - Vestdanmark'!J171+'Resultater - Østdanmark'!J171</f>
        <v>0</v>
      </c>
    </row>
    <row r="172" spans="1:10" hidden="1" x14ac:dyDescent="0.25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98">
        <f>'Resultater - Vestdanmark'!H172+'Resultater - Østdanmark'!H172</f>
        <v>-180783.86329737815</v>
      </c>
      <c r="I172" s="299">
        <f>'Resultater - Vestdanmark'!I172+'Resultater - Østdanmark'!I172</f>
        <v>0</v>
      </c>
      <c r="J172" s="300">
        <f>'Resultater - Vestdanmark'!J172+'Resultater - Østdanmark'!J172</f>
        <v>0</v>
      </c>
    </row>
    <row r="173" spans="1:10" hidden="1" x14ac:dyDescent="0.25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98">
        <f>'Resultater - Vestdanmark'!H173+'Resultater - Østdanmark'!H173</f>
        <v>24092.002403541195</v>
      </c>
      <c r="I173" s="299">
        <f>'Resultater - Vestdanmark'!I173+'Resultater - Østdanmark'!I173</f>
        <v>0</v>
      </c>
      <c r="J173" s="300">
        <f>'Resultater - Vestdanmark'!J173+'Resultater - Østdanmark'!J173</f>
        <v>0</v>
      </c>
    </row>
    <row r="174" spans="1:10" hidden="1" x14ac:dyDescent="0.25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98">
        <f>'Resultater - Vestdanmark'!H174+'Resultater - Østdanmark'!H174</f>
        <v>76689.476357594409</v>
      </c>
      <c r="I174" s="299">
        <f>'Resultater - Vestdanmark'!I174+'Resultater - Østdanmark'!I174</f>
        <v>0</v>
      </c>
      <c r="J174" s="300">
        <f>'Resultater - Vestdanmark'!J174+'Resultater - Østdanmark'!J174</f>
        <v>0</v>
      </c>
    </row>
    <row r="175" spans="1:10" hidden="1" x14ac:dyDescent="0.25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98">
        <f>'Resultater - Vestdanmark'!H175+'Resultater - Østdanmark'!H175</f>
        <v>-116080.37096608599</v>
      </c>
      <c r="I175" s="299">
        <f>'Resultater - Vestdanmark'!I175+'Resultater - Østdanmark'!I175</f>
        <v>0</v>
      </c>
      <c r="J175" s="300">
        <f>'Resultater - Vestdanmark'!J175+'Resultater - Østdanmark'!J175</f>
        <v>0</v>
      </c>
    </row>
    <row r="176" spans="1:10" hidden="1" x14ac:dyDescent="0.25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98">
        <f>'Resultater - Vestdanmark'!H176+'Resultater - Østdanmark'!H176</f>
        <v>52818.754154083166</v>
      </c>
      <c r="I176" s="299">
        <f>'Resultater - Vestdanmark'!I176+'Resultater - Østdanmark'!I176</f>
        <v>0</v>
      </c>
      <c r="J176" s="300">
        <f>'Resultater - Vestdanmark'!J176+'Resultater - Østdanmark'!J176</f>
        <v>0</v>
      </c>
    </row>
    <row r="177" spans="1:10" hidden="1" x14ac:dyDescent="0.25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98">
        <f>'Resultater - Vestdanmark'!H177+'Resultater - Østdanmark'!H177</f>
        <v>142494.79389236751</v>
      </c>
      <c r="I177" s="299">
        <f>'Resultater - Vestdanmark'!I177+'Resultater - Østdanmark'!I177</f>
        <v>508127.05781665567</v>
      </c>
      <c r="J177" s="300">
        <f>'Resultater - Vestdanmark'!J177+'Resultater - Østdanmark'!J177</f>
        <v>356296.63090666669</v>
      </c>
    </row>
    <row r="178" spans="1:10" hidden="1" x14ac:dyDescent="0.25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98">
        <f>'Resultater - Vestdanmark'!H178+'Resultater - Østdanmark'!H178</f>
        <v>-503267.39838652278</v>
      </c>
      <c r="I178" s="299">
        <f>'Resultater - Vestdanmark'!I178+'Resultater - Østdanmark'!I178</f>
        <v>-1674084.3507060811</v>
      </c>
      <c r="J178" s="300">
        <f>'Resultater - Vestdanmark'!J178+'Resultater - Østdanmark'!J178</f>
        <v>-1173861.1531003574</v>
      </c>
    </row>
    <row r="179" spans="1:10" hidden="1" x14ac:dyDescent="0.25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98">
        <f>'Resultater - Vestdanmark'!H179+'Resultater - Østdanmark'!H179</f>
        <v>13383.347942111091</v>
      </c>
      <c r="I179" s="299">
        <f>'Resultater - Vestdanmark'!I179+'Resultater - Østdanmark'!I179</f>
        <v>44518.785484163411</v>
      </c>
      <c r="J179" s="300">
        <f>'Resultater - Vestdanmark'!J179+'Resultater - Østdanmark'!J179</f>
        <v>31216.391719465159</v>
      </c>
    </row>
    <row r="180" spans="1:10" hidden="1" x14ac:dyDescent="0.25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98">
        <f>'Resultater - Vestdanmark'!H180+'Resultater - Østdanmark'!H180</f>
        <v>5595.8468620164213</v>
      </c>
      <c r="I180" s="299">
        <f>'Resultater - Vestdanmark'!I180+'Resultater - Østdanmark'!I180</f>
        <v>0</v>
      </c>
      <c r="J180" s="300">
        <f>'Resultater - Vestdanmark'!J180+'Resultater - Østdanmark'!J180</f>
        <v>0</v>
      </c>
    </row>
    <row r="181" spans="1:10" hidden="1" x14ac:dyDescent="0.25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98">
        <f>'Resultater - Vestdanmark'!H181+'Resultater - Østdanmark'!H181</f>
        <v>-13175.720155987337</v>
      </c>
      <c r="I181" s="299">
        <f>'Resultater - Vestdanmark'!I181+'Resultater - Østdanmark'!I181</f>
        <v>0</v>
      </c>
      <c r="J181" s="300">
        <f>'Resultater - Vestdanmark'!J181+'Resultater - Østdanmark'!J181</f>
        <v>0</v>
      </c>
    </row>
    <row r="182" spans="1:10" hidden="1" x14ac:dyDescent="0.25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98">
        <f>'Resultater - Vestdanmark'!H182+'Resultater - Østdanmark'!H182</f>
        <v>3080.4399094454293</v>
      </c>
      <c r="I182" s="299">
        <f>'Resultater - Vestdanmark'!I182+'Resultater - Østdanmark'!I182</f>
        <v>0</v>
      </c>
      <c r="J182" s="300">
        <f>'Resultater - Vestdanmark'!J182+'Resultater - Østdanmark'!J182</f>
        <v>0</v>
      </c>
    </row>
    <row r="183" spans="1:10" hidden="1" x14ac:dyDescent="0.25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98">
        <f>'Resultater - Vestdanmark'!H183+'Resultater - Østdanmark'!H183</f>
        <v>5589.2105687262674</v>
      </c>
      <c r="I183" s="299">
        <f>'Resultater - Vestdanmark'!I183+'Resultater - Østdanmark'!I183</f>
        <v>0</v>
      </c>
      <c r="J183" s="300">
        <f>'Resultater - Vestdanmark'!J183+'Resultater - Østdanmark'!J183</f>
        <v>0</v>
      </c>
    </row>
    <row r="184" spans="1:10" hidden="1" x14ac:dyDescent="0.25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98">
        <f>'Resultater - Vestdanmark'!H184+'Resultater - Østdanmark'!H184</f>
        <v>-8460.0608458981151</v>
      </c>
      <c r="I184" s="299">
        <f>'Resultater - Vestdanmark'!I184+'Resultater - Østdanmark'!I184</f>
        <v>0</v>
      </c>
      <c r="J184" s="300">
        <f>'Resultater - Vestdanmark'!J184+'Resultater - Østdanmark'!J184</f>
        <v>0</v>
      </c>
    </row>
    <row r="185" spans="1:10" hidden="1" x14ac:dyDescent="0.25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98">
        <f>'Resultater - Vestdanmark'!H185+'Resultater - Østdanmark'!H185</f>
        <v>6753.4858887241726</v>
      </c>
      <c r="I185" s="299">
        <f>'Resultater - Vestdanmark'!I185+'Resultater - Østdanmark'!I185</f>
        <v>0</v>
      </c>
      <c r="J185" s="300">
        <f>'Resultater - Vestdanmark'!J185+'Resultater - Østdanmark'!J185</f>
        <v>0</v>
      </c>
    </row>
    <row r="186" spans="1:10" hidden="1" x14ac:dyDescent="0.25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98">
        <f>'Resultater - Vestdanmark'!H186+'Resultater - Østdanmark'!H186</f>
        <v>10596561.852889422</v>
      </c>
      <c r="I186" s="299">
        <f>'Resultater - Vestdanmark'!I186+'Resultater - Østdanmark'!I186</f>
        <v>4895476.0019546952</v>
      </c>
      <c r="J186" s="300">
        <f>'Resultater - Vestdanmark'!J186+'Resultater - Østdanmark'!J186</f>
        <v>0</v>
      </c>
    </row>
    <row r="187" spans="1:10" hidden="1" x14ac:dyDescent="0.25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98">
        <f>'Resultater - Vestdanmark'!H187+'Resultater - Østdanmark'!H187</f>
        <v>-33100908.649694897</v>
      </c>
      <c r="I187" s="299">
        <f>'Resultater - Vestdanmark'!I187+'Resultater - Østdanmark'!I187</f>
        <v>-14265108.486869194</v>
      </c>
      <c r="J187" s="300">
        <f>'Resultater - Vestdanmark'!J187+'Resultater - Østdanmark'!J187</f>
        <v>0</v>
      </c>
    </row>
    <row r="188" spans="1:10" hidden="1" x14ac:dyDescent="0.25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98">
        <f>'Resultater - Vestdanmark'!H188+'Resultater - Østdanmark'!H188</f>
        <v>485557.09390620678</v>
      </c>
      <c r="I188" s="299">
        <f>'Resultater - Vestdanmark'!I188+'Resultater - Østdanmark'!I188</f>
        <v>209254.81818170016</v>
      </c>
      <c r="J188" s="300">
        <f>'Resultater - Vestdanmark'!J188+'Resultater - Østdanmark'!J188</f>
        <v>0</v>
      </c>
    </row>
    <row r="189" spans="1:10" hidden="1" x14ac:dyDescent="0.25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98">
        <f>'Resultater - Vestdanmark'!H189+'Resultater - Østdanmark'!H189</f>
        <v>1250706.5448330601</v>
      </c>
      <c r="I189" s="299">
        <f>'Resultater - Vestdanmark'!I189+'Resultater - Østdanmark'!I189</f>
        <v>0</v>
      </c>
      <c r="J189" s="300">
        <f>'Resultater - Vestdanmark'!J189+'Resultater - Østdanmark'!J189</f>
        <v>0</v>
      </c>
    </row>
    <row r="190" spans="1:10" hidden="1" x14ac:dyDescent="0.25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98">
        <f>'Resultater - Vestdanmark'!H190+'Resultater - Østdanmark'!H190</f>
        <v>-2730616.868673549</v>
      </c>
      <c r="I190" s="299">
        <f>'Resultater - Vestdanmark'!I190+'Resultater - Østdanmark'!I190</f>
        <v>0</v>
      </c>
      <c r="J190" s="300">
        <f>'Resultater - Vestdanmark'!J190+'Resultater - Østdanmark'!J190</f>
        <v>0</v>
      </c>
    </row>
    <row r="191" spans="1:10" hidden="1" x14ac:dyDescent="0.25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98">
        <f>'Resultater - Vestdanmark'!H191+'Resultater - Østdanmark'!H191</f>
        <v>335901.46460405836</v>
      </c>
      <c r="I191" s="299">
        <f>'Resultater - Vestdanmark'!I191+'Resultater - Østdanmark'!I191</f>
        <v>0</v>
      </c>
      <c r="J191" s="300">
        <f>'Resultater - Vestdanmark'!J191+'Resultater - Østdanmark'!J191</f>
        <v>0</v>
      </c>
    </row>
    <row r="192" spans="1:10" hidden="1" x14ac:dyDescent="0.25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98">
        <f>'Resultater - Vestdanmark'!H192+'Resultater - Østdanmark'!H192</f>
        <v>1501712.5809897545</v>
      </c>
      <c r="I192" s="299">
        <f>'Resultater - Vestdanmark'!I192+'Resultater - Østdanmark'!I192</f>
        <v>0</v>
      </c>
      <c r="J192" s="300">
        <f>'Resultater - Vestdanmark'!J192+'Resultater - Østdanmark'!J192</f>
        <v>0</v>
      </c>
    </row>
    <row r="193" spans="1:10" hidden="1" x14ac:dyDescent="0.25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98">
        <f>'Resultater - Vestdanmark'!H193+'Resultater - Østdanmark'!H193</f>
        <v>-2269819.4996822169</v>
      </c>
      <c r="I193" s="299">
        <f>'Resultater - Vestdanmark'!I193+'Resultater - Østdanmark'!I193</f>
        <v>0</v>
      </c>
      <c r="J193" s="300">
        <f>'Resultater - Vestdanmark'!J193+'Resultater - Østdanmark'!J193</f>
        <v>0</v>
      </c>
    </row>
    <row r="194" spans="1:10" hidden="1" x14ac:dyDescent="0.25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98">
        <f>'Resultater - Vestdanmark'!H194+'Resultater - Østdanmark'!H194</f>
        <v>885266.2325747133</v>
      </c>
      <c r="I194" s="299">
        <f>'Resultater - Vestdanmark'!I194+'Resultater - Østdanmark'!I194</f>
        <v>0</v>
      </c>
      <c r="J194" s="300">
        <f>'Resultater - Vestdanmark'!J194+'Resultater - Østdanmark'!J194</f>
        <v>0</v>
      </c>
    </row>
    <row r="195" spans="1:10" hidden="1" x14ac:dyDescent="0.25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98">
        <f>'Resultater - Vestdanmark'!H195+'Resultater - Østdanmark'!H195</f>
        <v>1056816.1068755633</v>
      </c>
      <c r="I195" s="299">
        <f>'Resultater - Vestdanmark'!I195+'Resultater - Østdanmark'!I195</f>
        <v>3818471.2815246624</v>
      </c>
      <c r="J195" s="300">
        <f>'Resultater - Vestdanmark'!J195+'Resultater - Østdanmark'!J195</f>
        <v>1845431.4707251661</v>
      </c>
    </row>
    <row r="196" spans="1:10" hidden="1" x14ac:dyDescent="0.25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98">
        <f>'Resultater - Vestdanmark'!H196+'Resultater - Østdanmark'!H196</f>
        <v>-3301219.1972130653</v>
      </c>
      <c r="I196" s="299">
        <f>'Resultater - Vestdanmark'!I196+'Resultater - Østdanmark'!I196</f>
        <v>-11126784.619757971</v>
      </c>
      <c r="J196" s="300">
        <f>'Resultater - Vestdanmark'!J196+'Resultater - Østdanmark'!J196</f>
        <v>-5377470.9802408889</v>
      </c>
    </row>
    <row r="197" spans="1:10" hidden="1" x14ac:dyDescent="0.25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98">
        <f>'Resultater - Vestdanmark'!H197+'Resultater - Østdanmark'!H197</f>
        <v>62084.065298082889</v>
      </c>
      <c r="I197" s="299">
        <f>'Resultater - Vestdanmark'!I197+'Resultater - Østdanmark'!I197</f>
        <v>209254.81818170016</v>
      </c>
      <c r="J197" s="300">
        <f>'Resultater - Vestdanmark'!J197+'Resultater - Østdanmark'!J197</f>
        <v>101130.89726294647</v>
      </c>
    </row>
    <row r="198" spans="1:10" hidden="1" x14ac:dyDescent="0.25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98">
        <f>'Resultater - Vestdanmark'!H198+'Resultater - Østdanmark'!H198</f>
        <v>124735.44154265925</v>
      </c>
      <c r="I198" s="299">
        <f>'Resultater - Vestdanmark'!I198+'Resultater - Østdanmark'!I198</f>
        <v>0</v>
      </c>
      <c r="J198" s="300">
        <f>'Resultater - Vestdanmark'!J198+'Resultater - Østdanmark'!J198</f>
        <v>0</v>
      </c>
    </row>
    <row r="199" spans="1:10" hidden="1" x14ac:dyDescent="0.25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98">
        <f>'Resultater - Vestdanmark'!H199+'Resultater - Østdanmark'!H199</f>
        <v>-272329.83005081455</v>
      </c>
      <c r="I199" s="299">
        <f>'Resultater - Vestdanmark'!I199+'Resultater - Østdanmark'!I199</f>
        <v>0</v>
      </c>
      <c r="J199" s="300">
        <f>'Resultater - Vestdanmark'!J199+'Resultater - Østdanmark'!J199</f>
        <v>0</v>
      </c>
    </row>
    <row r="200" spans="1:10" hidden="1" x14ac:dyDescent="0.25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98">
        <f>'Resultater - Vestdanmark'!H200+'Resultater - Østdanmark'!H200</f>
        <v>42948.869914417002</v>
      </c>
      <c r="I200" s="299">
        <f>'Resultater - Vestdanmark'!I200+'Resultater - Østdanmark'!I200</f>
        <v>0</v>
      </c>
      <c r="J200" s="300">
        <f>'Resultater - Vestdanmark'!J200+'Resultater - Østdanmark'!J200</f>
        <v>0</v>
      </c>
    </row>
    <row r="201" spans="1:10" hidden="1" x14ac:dyDescent="0.25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98">
        <f>'Resultater - Vestdanmark'!H201+'Resultater - Østdanmark'!H201</f>
        <v>149768.77080700482</v>
      </c>
      <c r="I201" s="299">
        <f>'Resultater - Vestdanmark'!I201+'Resultater - Østdanmark'!I201</f>
        <v>0</v>
      </c>
      <c r="J201" s="300">
        <f>'Resultater - Vestdanmark'!J201+'Resultater - Østdanmark'!J201</f>
        <v>0</v>
      </c>
    </row>
    <row r="202" spans="1:10" hidden="1" x14ac:dyDescent="0.25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98">
        <f>'Resultater - Vestdanmark'!H202+'Resultater - Østdanmark'!H202</f>
        <v>-226373.59553658532</v>
      </c>
      <c r="I202" s="299">
        <f>'Resultater - Vestdanmark'!I202+'Resultater - Østdanmark'!I202</f>
        <v>0</v>
      </c>
      <c r="J202" s="300">
        <f>'Resultater - Vestdanmark'!J202+'Resultater - Østdanmark'!J202</f>
        <v>0</v>
      </c>
    </row>
    <row r="203" spans="1:10" hidden="1" x14ac:dyDescent="0.25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98">
        <f>'Resultater - Vestdanmark'!H203+'Resultater - Østdanmark'!H203</f>
        <v>113191.4810413066</v>
      </c>
      <c r="I203" s="299">
        <f>'Resultater - Vestdanmark'!I203+'Resultater - Østdanmark'!I203</f>
        <v>0</v>
      </c>
      <c r="J203" s="300">
        <f>'Resultater - Vestdanmark'!J203+'Resultater - Østdanmark'!J203</f>
        <v>0</v>
      </c>
    </row>
    <row r="204" spans="1:10" hidden="1" x14ac:dyDescent="0.25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98">
        <f>'Resultater - Vestdanmark'!H204+'Resultater - Østdanmark'!H204</f>
        <v>252119.08822285215</v>
      </c>
      <c r="I204" s="299">
        <f>'Resultater - Vestdanmark'!I204+'Resultater - Østdanmark'!I204</f>
        <v>685936.34467722464</v>
      </c>
      <c r="J204" s="300">
        <f>'Resultater - Vestdanmark'!J204+'Resultater - Østdanmark'!J204</f>
        <v>0</v>
      </c>
    </row>
    <row r="205" spans="1:10" hidden="1" x14ac:dyDescent="0.25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98">
        <f>'Resultater - Vestdanmark'!H205+'Resultater - Østdanmark'!H205</f>
        <v>74848.798129844407</v>
      </c>
      <c r="I205" s="299">
        <f>'Resultater - Vestdanmark'!I205+'Resultater - Østdanmark'!I205</f>
        <v>188858.27133615801</v>
      </c>
      <c r="J205" s="300">
        <f>'Resultater - Vestdanmark'!J205+'Resultater - Østdanmark'!J205</f>
        <v>0</v>
      </c>
    </row>
    <row r="206" spans="1:10" hidden="1" x14ac:dyDescent="0.25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98">
        <f>'Resultater - Vestdanmark'!H206+'Resultater - Østdanmark'!H206</f>
        <v>0</v>
      </c>
      <c r="I206" s="299">
        <f>'Resultater - Vestdanmark'!I206+'Resultater - Østdanmark'!I206</f>
        <v>0</v>
      </c>
      <c r="J206" s="300">
        <f>'Resultater - Vestdanmark'!J206+'Resultater - Østdanmark'!J206</f>
        <v>0</v>
      </c>
    </row>
    <row r="207" spans="1:10" hidden="1" x14ac:dyDescent="0.25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98">
        <f>'Resultater - Vestdanmark'!H207+'Resultater - Østdanmark'!H207</f>
        <v>148508.2256030748</v>
      </c>
      <c r="I207" s="299">
        <f>'Resultater - Vestdanmark'!I207+'Resultater - Østdanmark'!I207</f>
        <v>376906.65922641591</v>
      </c>
      <c r="J207" s="300">
        <f>'Resultater - Vestdanmark'!J207+'Resultater - Østdanmark'!J207</f>
        <v>0</v>
      </c>
    </row>
    <row r="208" spans="1:10" hidden="1" x14ac:dyDescent="0.25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98">
        <f>'Resultater - Vestdanmark'!H208+'Resultater - Østdanmark'!H208</f>
        <v>9762.0012470722486</v>
      </c>
      <c r="I208" s="299">
        <f>'Resultater - Vestdanmark'!I208+'Resultater - Østdanmark'!I208</f>
        <v>0</v>
      </c>
      <c r="J208" s="300">
        <f>'Resultater - Vestdanmark'!J208+'Resultater - Østdanmark'!J208</f>
        <v>0</v>
      </c>
    </row>
    <row r="209" spans="1:10" hidden="1" x14ac:dyDescent="0.25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98">
        <f>'Resultater - Vestdanmark'!H209+'Resultater - Østdanmark'!H209</f>
        <v>2898.1306645038535</v>
      </c>
      <c r="I209" s="299">
        <f>'Resultater - Vestdanmark'!I209+'Resultater - Østdanmark'!I209</f>
        <v>0</v>
      </c>
      <c r="J209" s="300">
        <f>'Resultater - Vestdanmark'!J209+'Resultater - Østdanmark'!J209</f>
        <v>0</v>
      </c>
    </row>
    <row r="210" spans="1:10" hidden="1" x14ac:dyDescent="0.25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98">
        <f>'Resultater - Vestdanmark'!H210+'Resultater - Østdanmark'!H210</f>
        <v>0</v>
      </c>
      <c r="I210" s="299">
        <f>'Resultater - Vestdanmark'!I210+'Resultater - Østdanmark'!I210</f>
        <v>0</v>
      </c>
      <c r="J210" s="300">
        <f>'Resultater - Vestdanmark'!J210+'Resultater - Østdanmark'!J210</f>
        <v>0</v>
      </c>
    </row>
    <row r="211" spans="1:10" hidden="1" x14ac:dyDescent="0.25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98">
        <f>'Resultater - Vestdanmark'!H211+'Resultater - Østdanmark'!H211</f>
        <v>33702.707331215737</v>
      </c>
      <c r="I211" s="299">
        <f>'Resultater - Vestdanmark'!I211+'Resultater - Østdanmark'!I211</f>
        <v>0</v>
      </c>
      <c r="J211" s="300">
        <f>'Resultater - Vestdanmark'!J211+'Resultater - Østdanmark'!J211</f>
        <v>0</v>
      </c>
    </row>
    <row r="212" spans="1:10" hidden="1" x14ac:dyDescent="0.25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98">
        <f>'Resultater - Vestdanmark'!H212+'Resultater - Østdanmark'!H212</f>
        <v>3876.3292971970382</v>
      </c>
      <c r="I212" s="299">
        <f>'Resultater - Vestdanmark'!I212+'Resultater - Østdanmark'!I212</f>
        <v>0</v>
      </c>
      <c r="J212" s="300">
        <f>'Resultater - Vestdanmark'!J212+'Resultater - Østdanmark'!J212</f>
        <v>0</v>
      </c>
    </row>
    <row r="213" spans="1:10" hidden="1" x14ac:dyDescent="0.25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98">
        <f>'Resultater - Vestdanmark'!H213+'Resultater - Østdanmark'!H213</f>
        <v>1150.7997712344754</v>
      </c>
      <c r="I213" s="299">
        <f>'Resultater - Vestdanmark'!I213+'Resultater - Østdanmark'!I213</f>
        <v>0</v>
      </c>
      <c r="J213" s="300">
        <f>'Resultater - Vestdanmark'!J213+'Resultater - Østdanmark'!J213</f>
        <v>0</v>
      </c>
    </row>
    <row r="214" spans="1:10" hidden="1" x14ac:dyDescent="0.25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98">
        <f>'Resultater - Vestdanmark'!H214+'Resultater - Østdanmark'!H214</f>
        <v>0</v>
      </c>
      <c r="I214" s="299">
        <f>'Resultater - Vestdanmark'!I214+'Resultater - Østdanmark'!I214</f>
        <v>0</v>
      </c>
      <c r="J214" s="300">
        <f>'Resultater - Vestdanmark'!J214+'Resultater - Østdanmark'!J214</f>
        <v>0</v>
      </c>
    </row>
    <row r="215" spans="1:10" hidden="1" x14ac:dyDescent="0.25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98">
        <f>'Resultater - Vestdanmark'!H215+'Resultater - Østdanmark'!H215</f>
        <v>29374.954227709619</v>
      </c>
      <c r="I215" s="299">
        <f>'Resultater - Vestdanmark'!I215+'Resultater - Østdanmark'!I215</f>
        <v>0</v>
      </c>
      <c r="J215" s="300">
        <f>'Resultater - Vestdanmark'!J215+'Resultater - Østdanmark'!J215</f>
        <v>0</v>
      </c>
    </row>
    <row r="216" spans="1:10" hidden="1" x14ac:dyDescent="0.25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98">
        <f>'Resultater - Vestdanmark'!H216+'Resultater - Østdanmark'!H216</f>
        <v>18374.707188012384</v>
      </c>
      <c r="I216" s="299">
        <f>'Resultater - Vestdanmark'!I216+'Resultater - Østdanmark'!I216</f>
        <v>390983.716466018</v>
      </c>
      <c r="J216" s="300">
        <f>'Resultater - Vestdanmark'!J216+'Resultater - Østdanmark'!J216</f>
        <v>475387.09439526137</v>
      </c>
    </row>
    <row r="217" spans="1:10" hidden="1" x14ac:dyDescent="0.25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98">
        <f>'Resultater - Vestdanmark'!H217+'Resultater - Østdanmark'!H217</f>
        <v>5455.059982585959</v>
      </c>
      <c r="I217" s="299">
        <f>'Resultater - Vestdanmark'!I217+'Resultater - Østdanmark'!I217</f>
        <v>107649.21466161007</v>
      </c>
      <c r="J217" s="300">
        <f>'Resultater - Vestdanmark'!J217+'Resultater - Østdanmark'!J217</f>
        <v>130887.92503808127</v>
      </c>
    </row>
    <row r="218" spans="1:10" hidden="1" x14ac:dyDescent="0.25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98">
        <f>'Resultater - Vestdanmark'!H218+'Resultater - Østdanmark'!H218</f>
        <v>0</v>
      </c>
      <c r="I218" s="299">
        <f>'Resultater - Vestdanmark'!I218+'Resultater - Østdanmark'!I218</f>
        <v>0</v>
      </c>
      <c r="J218" s="300">
        <f>'Resultater - Vestdanmark'!J218+'Resultater - Østdanmark'!J218</f>
        <v>0</v>
      </c>
    </row>
    <row r="219" spans="1:10" hidden="1" x14ac:dyDescent="0.25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98">
        <f>'Resultater - Vestdanmark'!H219+'Resultater - Østdanmark'!H219</f>
        <v>18988.48660920751</v>
      </c>
      <c r="I219" s="299">
        <f>'Resultater - Vestdanmark'!I219+'Resultater - Østdanmark'!I219</f>
        <v>376906.65922641591</v>
      </c>
      <c r="J219" s="300">
        <f>'Resultater - Vestdanmark'!J219+'Resultater - Østdanmark'!J219</f>
        <v>458271.16077209765</v>
      </c>
    </row>
    <row r="220" spans="1:10" hidden="1" x14ac:dyDescent="0.25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98">
        <f>'Resultater - Vestdanmark'!H220+'Resultater - Østdanmark'!H220</f>
        <v>711.46502927780227</v>
      </c>
      <c r="I220" s="299">
        <f>'Resultater - Vestdanmark'!I220+'Resultater - Østdanmark'!I220</f>
        <v>0</v>
      </c>
      <c r="J220" s="300">
        <f>'Resultater - Vestdanmark'!J220+'Resultater - Østdanmark'!J220</f>
        <v>0</v>
      </c>
    </row>
    <row r="221" spans="1:10" hidden="1" x14ac:dyDescent="0.25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98">
        <f>'Resultater - Vestdanmark'!H221+'Resultater - Østdanmark'!H221</f>
        <v>211.21884395277317</v>
      </c>
      <c r="I221" s="299">
        <f>'Resultater - Vestdanmark'!I221+'Resultater - Østdanmark'!I221</f>
        <v>0</v>
      </c>
      <c r="J221" s="300">
        <f>'Resultater - Vestdanmark'!J221+'Resultater - Østdanmark'!J221</f>
        <v>0</v>
      </c>
    </row>
    <row r="222" spans="1:10" hidden="1" x14ac:dyDescent="0.25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98">
        <f>'Resultater - Vestdanmark'!H222+'Resultater - Østdanmark'!H222</f>
        <v>0</v>
      </c>
      <c r="I222" s="299">
        <f>'Resultater - Vestdanmark'!I222+'Resultater - Østdanmark'!I222</f>
        <v>0</v>
      </c>
      <c r="J222" s="300">
        <f>'Resultater - Vestdanmark'!J222+'Resultater - Østdanmark'!J222</f>
        <v>0</v>
      </c>
    </row>
    <row r="223" spans="1:10" hidden="1" x14ac:dyDescent="0.25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98">
        <f>'Resultater - Vestdanmark'!H223+'Resultater - Østdanmark'!H223</f>
        <v>4309.2791948325566</v>
      </c>
      <c r="I223" s="299">
        <f>'Resultater - Vestdanmark'!I223+'Resultater - Østdanmark'!I223</f>
        <v>0</v>
      </c>
      <c r="J223" s="300">
        <f>'Resultater - Vestdanmark'!J223+'Resultater - Østdanmark'!J223</f>
        <v>0</v>
      </c>
    </row>
    <row r="224" spans="1:10" hidden="1" x14ac:dyDescent="0.25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98">
        <f>'Resultater - Vestdanmark'!H224+'Resultater - Østdanmark'!H224</f>
        <v>282.51100026726743</v>
      </c>
      <c r="I224" s="299">
        <f>'Resultater - Vestdanmark'!I224+'Resultater - Østdanmark'!I224</f>
        <v>0</v>
      </c>
      <c r="J224" s="300">
        <f>'Resultater - Vestdanmark'!J224+'Resultater - Østdanmark'!J224</f>
        <v>0</v>
      </c>
    </row>
    <row r="225" spans="1:10" hidden="1" x14ac:dyDescent="0.25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98">
        <f>'Resultater - Vestdanmark'!H225+'Resultater - Østdanmark'!H225</f>
        <v>83.871510790861564</v>
      </c>
      <c r="I225" s="299">
        <f>'Resultater - Vestdanmark'!I225+'Resultater - Østdanmark'!I225</f>
        <v>0</v>
      </c>
      <c r="J225" s="300">
        <f>'Resultater - Vestdanmark'!J225+'Resultater - Østdanmark'!J225</f>
        <v>0</v>
      </c>
    </row>
    <row r="226" spans="1:10" hidden="1" x14ac:dyDescent="0.25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98">
        <f>'Resultater - Vestdanmark'!H226+'Resultater - Østdanmark'!H226</f>
        <v>0</v>
      </c>
      <c r="I226" s="299">
        <f>'Resultater - Vestdanmark'!I226+'Resultater - Østdanmark'!I226</f>
        <v>0</v>
      </c>
      <c r="J226" s="300">
        <f>'Resultater - Vestdanmark'!J226+'Resultater - Østdanmark'!J226</f>
        <v>0</v>
      </c>
    </row>
    <row r="227" spans="1:10" hidden="1" x14ac:dyDescent="0.25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98">
        <f>'Resultater - Vestdanmark'!H227+'Resultater - Østdanmark'!H227</f>
        <v>3755.926129571902</v>
      </c>
      <c r="I227" s="299">
        <f>'Resultater - Vestdanmark'!I227+'Resultater - Østdanmark'!I227</f>
        <v>0</v>
      </c>
      <c r="J227" s="300">
        <f>'Resultater - Vestdanmark'!J227+'Resultater - Østdanmark'!J227</f>
        <v>0</v>
      </c>
    </row>
    <row r="228" spans="1:10" hidden="1" x14ac:dyDescent="0.25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98">
        <f>'Resultater - Vestdanmark'!H228+'Resultater - Østdanmark'!H228</f>
        <v>2432067.6197482329</v>
      </c>
      <c r="I228" s="299">
        <f>'Resultater - Vestdanmark'!I228+'Resultater - Østdanmark'!I228</f>
        <v>427687.94912339188</v>
      </c>
      <c r="J228" s="300">
        <f>'Resultater - Vestdanmark'!J228+'Resultater - Østdanmark'!J228</f>
        <v>0</v>
      </c>
    </row>
    <row r="229" spans="1:10" hidden="1" x14ac:dyDescent="0.25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98">
        <f>'Resultater - Vestdanmark'!H229+'Resultater - Østdanmark'!H229</f>
        <v>-4040788.3212018311</v>
      </c>
      <c r="I229" s="299">
        <f>'Resultater - Vestdanmark'!I229+'Resultater - Østdanmark'!I229</f>
        <v>-662861.3282014362</v>
      </c>
      <c r="J229" s="300">
        <f>'Resultater - Vestdanmark'!J229+'Resultater - Østdanmark'!J229</f>
        <v>0</v>
      </c>
    </row>
    <row r="230" spans="1:10" hidden="1" x14ac:dyDescent="0.25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98">
        <f>'Resultater - Vestdanmark'!H230+'Resultater - Østdanmark'!H230</f>
        <v>68055.686267538025</v>
      </c>
      <c r="I230" s="299">
        <f>'Resultater - Vestdanmark'!I230+'Resultater - Østdanmark'!I230</f>
        <v>11164.030135966939</v>
      </c>
      <c r="J230" s="300">
        <f>'Resultater - Vestdanmark'!J230+'Resultater - Østdanmark'!J230</f>
        <v>0</v>
      </c>
    </row>
    <row r="231" spans="1:10" hidden="1" x14ac:dyDescent="0.25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98">
        <f>'Resultater - Vestdanmark'!H231+'Resultater - Østdanmark'!H231</f>
        <v>13122.873542371528</v>
      </c>
      <c r="I231" s="299">
        <f>'Resultater - Vestdanmark'!I231+'Resultater - Østdanmark'!I231</f>
        <v>0</v>
      </c>
      <c r="J231" s="300">
        <f>'Resultater - Vestdanmark'!J231+'Resultater - Østdanmark'!J231</f>
        <v>0</v>
      </c>
    </row>
    <row r="232" spans="1:10" hidden="1" x14ac:dyDescent="0.25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98">
        <f>'Resultater - Vestdanmark'!H232+'Resultater - Østdanmark'!H232</f>
        <v>-14131.676367037673</v>
      </c>
      <c r="I232" s="299">
        <f>'Resultater - Vestdanmark'!I232+'Resultater - Østdanmark'!I232</f>
        <v>0</v>
      </c>
      <c r="J232" s="300">
        <f>'Resultater - Vestdanmark'!J232+'Resultater - Østdanmark'!J232</f>
        <v>0</v>
      </c>
    </row>
    <row r="233" spans="1:10" hidden="1" x14ac:dyDescent="0.25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98">
        <f>'Resultater - Vestdanmark'!H233+'Resultater - Østdanmark'!H233</f>
        <v>2152.2804701131786</v>
      </c>
      <c r="I233" s="299">
        <f>'Resultater - Vestdanmark'!I233+'Resultater - Østdanmark'!I233</f>
        <v>0</v>
      </c>
      <c r="J233" s="300">
        <f>'Resultater - Vestdanmark'!J233+'Resultater - Østdanmark'!J233</f>
        <v>0</v>
      </c>
    </row>
    <row r="234" spans="1:10" hidden="1" x14ac:dyDescent="0.25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98">
        <f>'Resultater - Vestdanmark'!H234+'Resultater - Østdanmark'!H234</f>
        <v>5615.3101846932177</v>
      </c>
      <c r="I234" s="299">
        <f>'Resultater - Vestdanmark'!I234+'Resultater - Østdanmark'!I234</f>
        <v>0</v>
      </c>
      <c r="J234" s="300">
        <f>'Resultater - Vestdanmark'!J234+'Resultater - Østdanmark'!J234</f>
        <v>0</v>
      </c>
    </row>
    <row r="235" spans="1:10" hidden="1" x14ac:dyDescent="0.25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98">
        <f>'Resultater - Vestdanmark'!H235+'Resultater - Østdanmark'!H235</f>
        <v>-3702.2322974288109</v>
      </c>
      <c r="I235" s="299">
        <f>'Resultater - Vestdanmark'!I235+'Resultater - Østdanmark'!I235</f>
        <v>0</v>
      </c>
      <c r="J235" s="300">
        <f>'Resultater - Vestdanmark'!J235+'Resultater - Østdanmark'!J235</f>
        <v>0</v>
      </c>
    </row>
    <row r="236" spans="1:10" hidden="1" x14ac:dyDescent="0.25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98">
        <f>'Resultater - Vestdanmark'!H236+'Resultater - Østdanmark'!H236</f>
        <v>2021.5024736231753</v>
      </c>
      <c r="I236" s="299">
        <f>'Resultater - Vestdanmark'!I236+'Resultater - Østdanmark'!I236</f>
        <v>0</v>
      </c>
      <c r="J236" s="300">
        <f>'Resultater - Vestdanmark'!J236+'Resultater - Østdanmark'!J236</f>
        <v>0</v>
      </c>
    </row>
    <row r="237" spans="1:10" hidden="1" x14ac:dyDescent="0.25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98">
        <f>'Resultater - Vestdanmark'!H237+'Resultater - Østdanmark'!H237</f>
        <v>177251.6737598984</v>
      </c>
      <c r="I237" s="299">
        <f>'Resultater - Vestdanmark'!I237+'Resultater - Østdanmark'!I237</f>
        <v>243782.13100033332</v>
      </c>
      <c r="J237" s="300">
        <f>'Resultater - Vestdanmark'!J237+'Resultater - Østdanmark'!J237</f>
        <v>304343.7824693757</v>
      </c>
    </row>
    <row r="238" spans="1:10" hidden="1" x14ac:dyDescent="0.25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98">
        <f>'Resultater - Vestdanmark'!H238+'Resultater - Østdanmark'!H238</f>
        <v>-294496.94877999288</v>
      </c>
      <c r="I238" s="299">
        <f>'Resultater - Vestdanmark'!I238+'Resultater - Østdanmark'!I238</f>
        <v>-377830.95707481861</v>
      </c>
      <c r="J238" s="300">
        <f>'Resultater - Vestdanmark'!J238+'Resultater - Østdanmark'!J238</f>
        <v>-471693.72971810383</v>
      </c>
    </row>
    <row r="239" spans="1:10" hidden="1" x14ac:dyDescent="0.25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98">
        <f>'Resultater - Vestdanmark'!H239+'Resultater - Østdanmark'!H239</f>
        <v>8701.7031017897862</v>
      </c>
      <c r="I239" s="299">
        <f>'Resultater - Vestdanmark'!I239+'Resultater - Østdanmark'!I239</f>
        <v>11164.030135966939</v>
      </c>
      <c r="J239" s="300">
        <f>'Resultater - Vestdanmark'!J239+'Resultater - Østdanmark'!J239</f>
        <v>13937.45778347319</v>
      </c>
    </row>
    <row r="240" spans="1:10" hidden="1" x14ac:dyDescent="0.25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98">
        <f>'Resultater - Vestdanmark'!H240+'Resultater - Østdanmark'!H240</f>
        <v>956.40897524289744</v>
      </c>
      <c r="I240" s="299">
        <f>'Resultater - Vestdanmark'!I240+'Resultater - Østdanmark'!I240</f>
        <v>0</v>
      </c>
      <c r="J240" s="300">
        <f>'Resultater - Vestdanmark'!J240+'Resultater - Østdanmark'!J240</f>
        <v>0</v>
      </c>
    </row>
    <row r="241" spans="1:10" hidden="1" x14ac:dyDescent="0.25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98">
        <f>'Resultater - Vestdanmark'!H241+'Resultater - Østdanmark'!H241</f>
        <v>-1029.9315976049757</v>
      </c>
      <c r="I241" s="299">
        <f>'Resultater - Vestdanmark'!I241+'Resultater - Østdanmark'!I241</f>
        <v>0</v>
      </c>
      <c r="J241" s="300">
        <f>'Resultater - Vestdanmark'!J241+'Resultater - Østdanmark'!J241</f>
        <v>0</v>
      </c>
    </row>
    <row r="242" spans="1:10" hidden="1" x14ac:dyDescent="0.25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98">
        <f>'Resultater - Vestdanmark'!H242+'Resultater - Østdanmark'!H242</f>
        <v>275.19384007209339</v>
      </c>
      <c r="I242" s="299">
        <f>'Resultater - Vestdanmark'!I242+'Resultater - Østdanmark'!I242</f>
        <v>0</v>
      </c>
      <c r="J242" s="300">
        <f>'Resultater - Vestdanmark'!J242+'Resultater - Østdanmark'!J242</f>
        <v>0</v>
      </c>
    </row>
    <row r="243" spans="1:10" hidden="1" x14ac:dyDescent="0.25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98">
        <f>'Resultater - Vestdanmark'!H243+'Resultater - Østdanmark'!H243</f>
        <v>409.24977613118875</v>
      </c>
      <c r="I243" s="299">
        <f>'Resultater - Vestdanmark'!I243+'Resultater - Østdanmark'!I243</f>
        <v>0</v>
      </c>
      <c r="J243" s="300">
        <f>'Resultater - Vestdanmark'!J243+'Resultater - Østdanmark'!J243</f>
        <v>0</v>
      </c>
    </row>
    <row r="244" spans="1:10" hidden="1" x14ac:dyDescent="0.25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98">
        <f>'Resultater - Vestdanmark'!H244+'Resultater - Østdanmark'!H244</f>
        <v>-269.82262583436852</v>
      </c>
      <c r="I244" s="299">
        <f>'Resultater - Vestdanmark'!I244+'Resultater - Østdanmark'!I244</f>
        <v>0</v>
      </c>
      <c r="J244" s="300">
        <f>'Resultater - Vestdanmark'!J244+'Resultater - Østdanmark'!J244</f>
        <v>0</v>
      </c>
    </row>
    <row r="245" spans="1:10" hidden="1" x14ac:dyDescent="0.25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98">
        <f>'Resultater - Vestdanmark'!H245+'Resultater - Østdanmark'!H245</f>
        <v>258.47236740588181</v>
      </c>
      <c r="I245" s="299">
        <f>'Resultater - Vestdanmark'!I245+'Resultater - Østdanmark'!I245</f>
        <v>0</v>
      </c>
      <c r="J245" s="300">
        <f>'Resultater - Vestdanmark'!J245+'Resultater - Østdanmark'!J245</f>
        <v>0</v>
      </c>
    </row>
    <row r="246" spans="1:10" hidden="1" x14ac:dyDescent="0.25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98">
        <f>'Resultater - Vestdanmark'!H246+'Resultater - Østdanmark'!H246</f>
        <v>37068.149941239346</v>
      </c>
      <c r="I246" s="299">
        <f>'Resultater - Vestdanmark'!I246+'Resultater - Østdanmark'!I246</f>
        <v>234747.99106767849</v>
      </c>
      <c r="J246" s="300">
        <f>'Resultater - Vestdanmark'!J246+'Resultater - Østdanmark'!J246</f>
        <v>0</v>
      </c>
    </row>
    <row r="247" spans="1:10" hidden="1" x14ac:dyDescent="0.25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98">
        <f>'Resultater - Vestdanmark'!H247+'Resultater - Østdanmark'!H247</f>
        <v>-611253.35592149675</v>
      </c>
      <c r="I247" s="299">
        <f>'Resultater - Vestdanmark'!I247+'Resultater - Østdanmark'!I247</f>
        <v>-3610999.6340597132</v>
      </c>
      <c r="J247" s="300">
        <f>'Resultater - Vestdanmark'!J247+'Resultater - Østdanmark'!J247</f>
        <v>0</v>
      </c>
    </row>
    <row r="248" spans="1:10" hidden="1" x14ac:dyDescent="0.25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98">
        <f>'Resultater - Vestdanmark'!H248+'Resultater - Østdanmark'!H248</f>
        <v>8582.4091345819397</v>
      </c>
      <c r="I248" s="299">
        <f>'Resultater - Vestdanmark'!I248+'Resultater - Østdanmark'!I248</f>
        <v>50700.868869023121</v>
      </c>
      <c r="J248" s="300">
        <f>'Resultater - Vestdanmark'!J248+'Resultater - Østdanmark'!J248</f>
        <v>0</v>
      </c>
    </row>
    <row r="249" spans="1:10" hidden="1" x14ac:dyDescent="0.25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98">
        <f>'Resultater - Vestdanmark'!H249+'Resultater - Østdanmark'!H249</f>
        <v>1090.1789727130877</v>
      </c>
      <c r="I249" s="299">
        <f>'Resultater - Vestdanmark'!I249+'Resultater - Østdanmark'!I249</f>
        <v>0</v>
      </c>
      <c r="J249" s="300">
        <f>'Resultater - Vestdanmark'!J249+'Resultater - Østdanmark'!J249</f>
        <v>0</v>
      </c>
    </row>
    <row r="250" spans="1:10" hidden="1" x14ac:dyDescent="0.25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98">
        <f>'Resultater - Vestdanmark'!H250+'Resultater - Østdanmark'!H250</f>
        <v>-14980.865349414238</v>
      </c>
      <c r="I250" s="299">
        <f>'Resultater - Vestdanmark'!I250+'Resultater - Østdanmark'!I250</f>
        <v>0</v>
      </c>
      <c r="J250" s="300">
        <f>'Resultater - Vestdanmark'!J250+'Resultater - Østdanmark'!J250</f>
        <v>0</v>
      </c>
    </row>
    <row r="251" spans="1:10" hidden="1" x14ac:dyDescent="0.25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98">
        <f>'Resultater - Vestdanmark'!H251+'Resultater - Østdanmark'!H251</f>
        <v>1140.8671979707708</v>
      </c>
      <c r="I251" s="299">
        <f>'Resultater - Vestdanmark'!I251+'Resultater - Østdanmark'!I251</f>
        <v>0</v>
      </c>
      <c r="J251" s="300">
        <f>'Resultater - Vestdanmark'!J251+'Resultater - Østdanmark'!J251</f>
        <v>0</v>
      </c>
    </row>
    <row r="252" spans="1:10" hidden="1" x14ac:dyDescent="0.25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98">
        <f>'Resultater - Vestdanmark'!H252+'Resultater - Østdanmark'!H252</f>
        <v>734.97559696711278</v>
      </c>
      <c r="I252" s="299">
        <f>'Resultater - Vestdanmark'!I252+'Resultater - Østdanmark'!I252</f>
        <v>0</v>
      </c>
      <c r="J252" s="300">
        <f>'Resultater - Vestdanmark'!J252+'Resultater - Østdanmark'!J252</f>
        <v>0</v>
      </c>
    </row>
    <row r="253" spans="1:10" hidden="1" x14ac:dyDescent="0.25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98">
        <f>'Resultater - Vestdanmark'!H253+'Resultater - Østdanmark'!H253</f>
        <v>-8656.9563835937897</v>
      </c>
      <c r="I253" s="299">
        <f>'Resultater - Vestdanmark'!I253+'Resultater - Østdanmark'!I253</f>
        <v>0</v>
      </c>
      <c r="J253" s="300">
        <f>'Resultater - Vestdanmark'!J253+'Resultater - Østdanmark'!J253</f>
        <v>0</v>
      </c>
    </row>
    <row r="254" spans="1:10" hidden="1" x14ac:dyDescent="0.25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98">
        <f>'Resultater - Vestdanmark'!H254+'Resultater - Østdanmark'!H254</f>
        <v>1762.4137499845892</v>
      </c>
      <c r="I254" s="299">
        <f>'Resultater - Vestdanmark'!I254+'Resultater - Østdanmark'!I254</f>
        <v>0</v>
      </c>
      <c r="J254" s="300">
        <f>'Resultater - Vestdanmark'!J254+'Resultater - Østdanmark'!J254</f>
        <v>0</v>
      </c>
    </row>
    <row r="255" spans="1:10" hidden="1" x14ac:dyDescent="0.25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98">
        <f>'Resultater - Vestdanmark'!H255+'Resultater - Østdanmark'!H255</f>
        <v>2701.5661764156534</v>
      </c>
      <c r="I255" s="299">
        <f>'Resultater - Vestdanmark'!I255+'Resultater - Østdanmark'!I255</f>
        <v>133806.35490857673</v>
      </c>
      <c r="J255" s="300">
        <f>'Resultater - Vestdanmark'!J255+'Resultater - Østdanmark'!J255</f>
        <v>185363.60879328143</v>
      </c>
    </row>
    <row r="256" spans="1:10" hidden="1" x14ac:dyDescent="0.25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98">
        <f>'Resultater - Vestdanmark'!H256+'Resultater - Østdanmark'!H256</f>
        <v>-44548.794428526671</v>
      </c>
      <c r="I256" s="299">
        <f>'Resultater - Vestdanmark'!I256+'Resultater - Østdanmark'!I256</f>
        <v>-2058269.7914140364</v>
      </c>
      <c r="J256" s="300">
        <f>'Resultater - Vestdanmark'!J256+'Resultater - Østdanmark'!J256</f>
        <v>-2851346.759033828</v>
      </c>
    </row>
    <row r="257" spans="1:10" hidden="1" x14ac:dyDescent="0.25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98">
        <f>'Resultater - Vestdanmark'!H257+'Resultater - Østdanmark'!H257</f>
        <v>1097.3598281506586</v>
      </c>
      <c r="I257" s="299">
        <f>'Resultater - Vestdanmark'!I257+'Resultater - Østdanmark'!I257</f>
        <v>50700.868869023121</v>
      </c>
      <c r="J257" s="300">
        <f>'Resultater - Vestdanmark'!J257+'Resultater - Østdanmark'!J257</f>
        <v>70236.54466141251</v>
      </c>
    </row>
    <row r="258" spans="1:10" hidden="1" x14ac:dyDescent="0.25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98">
        <f>'Resultater - Vestdanmark'!H258+'Resultater - Østdanmark'!H258</f>
        <v>79.453402546120458</v>
      </c>
      <c r="I258" s="299">
        <f>'Resultater - Vestdanmark'!I258+'Resultater - Østdanmark'!I258</f>
        <v>0</v>
      </c>
      <c r="J258" s="300">
        <f>'Resultater - Vestdanmark'!J258+'Resultater - Østdanmark'!J258</f>
        <v>0</v>
      </c>
    </row>
    <row r="259" spans="1:10" hidden="1" x14ac:dyDescent="0.25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98">
        <f>'Resultater - Vestdanmark'!H259+'Resultater - Østdanmark'!H259</f>
        <v>-1091.8213934488481</v>
      </c>
      <c r="I259" s="299">
        <f>'Resultater - Vestdanmark'!I259+'Resultater - Østdanmark'!I259</f>
        <v>0</v>
      </c>
      <c r="J259" s="300">
        <f>'Resultater - Vestdanmark'!J259+'Resultater - Østdanmark'!J259</f>
        <v>0</v>
      </c>
    </row>
    <row r="260" spans="1:10" hidden="1" x14ac:dyDescent="0.25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98">
        <f>'Resultater - Vestdanmark'!H260+'Resultater - Østdanmark'!H260</f>
        <v>145.87300752924452</v>
      </c>
      <c r="I260" s="299">
        <f>'Resultater - Vestdanmark'!I260+'Resultater - Østdanmark'!I260</f>
        <v>0</v>
      </c>
      <c r="J260" s="300">
        <f>'Resultater - Vestdanmark'!J260+'Resultater - Østdanmark'!J260</f>
        <v>0</v>
      </c>
    </row>
    <row r="261" spans="1:10" hidden="1" x14ac:dyDescent="0.25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98">
        <f>'Resultater - Vestdanmark'!H261+'Resultater - Østdanmark'!H261</f>
        <v>53.565802890212126</v>
      </c>
      <c r="I261" s="299">
        <f>'Resultater - Vestdanmark'!I261+'Resultater - Østdanmark'!I261</f>
        <v>0</v>
      </c>
      <c r="J261" s="300">
        <f>'Resultater - Vestdanmark'!J261+'Resultater - Østdanmark'!J261</f>
        <v>0</v>
      </c>
    </row>
    <row r="262" spans="1:10" hidden="1" x14ac:dyDescent="0.25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98">
        <f>'Resultater - Vestdanmark'!H262+'Resultater - Østdanmark'!H262</f>
        <v>-630.92818480815231</v>
      </c>
      <c r="I262" s="299">
        <f>'Resultater - Vestdanmark'!I262+'Resultater - Østdanmark'!I262</f>
        <v>0</v>
      </c>
      <c r="J262" s="300">
        <f>'Resultater - Vestdanmark'!J262+'Resultater - Østdanmark'!J262</f>
        <v>0</v>
      </c>
    </row>
    <row r="263" spans="1:10" hidden="1" x14ac:dyDescent="0.25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98">
        <f>'Resultater - Vestdanmark'!H263+'Resultater - Østdanmark'!H263</f>
        <v>225.34489086759828</v>
      </c>
      <c r="I263" s="299">
        <f>'Resultater - Vestdanmark'!I263+'Resultater - Østdanmark'!I263</f>
        <v>0</v>
      </c>
      <c r="J263" s="300">
        <f>'Resultater - Vestdanmark'!J263+'Resultater - Østdanmark'!J263</f>
        <v>0</v>
      </c>
    </row>
    <row r="264" spans="1:10" hidden="1" x14ac:dyDescent="0.25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98">
        <f>'Resultater - Vestdanmark'!H264+'Resultater - Østdanmark'!H264</f>
        <v>1769792.6482433821</v>
      </c>
      <c r="I264" s="299">
        <f>'Resultater - Vestdanmark'!I264+'Resultater - Østdanmark'!I264</f>
        <v>832959.65471486049</v>
      </c>
      <c r="J264" s="300">
        <f>'Resultater - Vestdanmark'!J264+'Resultater - Østdanmark'!J264</f>
        <v>0</v>
      </c>
    </row>
    <row r="265" spans="1:10" hidden="1" x14ac:dyDescent="0.25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98">
        <f>'Resultater - Vestdanmark'!H265+'Resultater - Østdanmark'!H265</f>
        <v>-8439338.016000744</v>
      </c>
      <c r="I265" s="299">
        <f>'Resultater - Vestdanmark'!I265+'Resultater - Østdanmark'!I265</f>
        <v>-3705230.0375115029</v>
      </c>
      <c r="J265" s="300">
        <f>'Resultater - Vestdanmark'!J265+'Resultater - Østdanmark'!J265</f>
        <v>0</v>
      </c>
    </row>
    <row r="266" spans="1:10" hidden="1" x14ac:dyDescent="0.25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98">
        <f>'Resultater - Vestdanmark'!H266+'Resultater - Østdanmark'!H266</f>
        <v>135050.85263779573</v>
      </c>
      <c r="I266" s="299">
        <f>'Resultater - Vestdanmark'!I266+'Resultater - Østdanmark'!I266</f>
        <v>59293.095600195971</v>
      </c>
      <c r="J266" s="300">
        <f>'Resultater - Vestdanmark'!J266+'Resultater - Østdanmark'!J266</f>
        <v>0</v>
      </c>
    </row>
    <row r="267" spans="1:10" hidden="1" x14ac:dyDescent="0.25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98">
        <f>'Resultater - Vestdanmark'!H267+'Resultater - Østdanmark'!H267</f>
        <v>59344.705933036988</v>
      </c>
      <c r="I267" s="299">
        <f>'Resultater - Vestdanmark'!I267+'Resultater - Østdanmark'!I267</f>
        <v>0</v>
      </c>
      <c r="J267" s="300">
        <f>'Resultater - Vestdanmark'!J267+'Resultater - Østdanmark'!J267</f>
        <v>0</v>
      </c>
    </row>
    <row r="268" spans="1:10" hidden="1" x14ac:dyDescent="0.25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98">
        <f>'Resultater - Vestdanmark'!H268+'Resultater - Østdanmark'!H268</f>
        <v>-207469.18786644947</v>
      </c>
      <c r="I268" s="299">
        <f>'Resultater - Vestdanmark'!I268+'Resultater - Østdanmark'!I268</f>
        <v>0</v>
      </c>
      <c r="J268" s="300">
        <f>'Resultater - Vestdanmark'!J268+'Resultater - Østdanmark'!J268</f>
        <v>0</v>
      </c>
    </row>
    <row r="269" spans="1:10" hidden="1" x14ac:dyDescent="0.25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98">
        <f>'Resultater - Vestdanmark'!H269+'Resultater - Østdanmark'!H269</f>
        <v>26542.270744245459</v>
      </c>
      <c r="I269" s="299">
        <f>'Resultater - Vestdanmark'!I269+'Resultater - Østdanmark'!I269</f>
        <v>0</v>
      </c>
      <c r="J269" s="300">
        <f>'Resultater - Vestdanmark'!J269+'Resultater - Østdanmark'!J269</f>
        <v>0</v>
      </c>
    </row>
    <row r="270" spans="1:10" hidden="1" x14ac:dyDescent="0.25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98">
        <f>'Resultater - Vestdanmark'!H270+'Resultater - Østdanmark'!H270</f>
        <v>39757.754782963726</v>
      </c>
      <c r="I270" s="299">
        <f>'Resultater - Vestdanmark'!I270+'Resultater - Østdanmark'!I270</f>
        <v>0</v>
      </c>
      <c r="J270" s="300">
        <f>'Resultater - Vestdanmark'!J270+'Resultater - Østdanmark'!J270</f>
        <v>0</v>
      </c>
    </row>
    <row r="271" spans="1:10" hidden="1" x14ac:dyDescent="0.25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98">
        <f>'Resultater - Vestdanmark'!H271+'Resultater - Østdanmark'!H271</f>
        <v>-102854.94948928599</v>
      </c>
      <c r="I271" s="299">
        <f>'Resultater - Vestdanmark'!I271+'Resultater - Østdanmark'!I271</f>
        <v>0</v>
      </c>
      <c r="J271" s="300">
        <f>'Resultater - Vestdanmark'!J271+'Resultater - Østdanmark'!J271</f>
        <v>0</v>
      </c>
    </row>
    <row r="272" spans="1:10" hidden="1" x14ac:dyDescent="0.25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98">
        <f>'Resultater - Vestdanmark'!H272+'Resultater - Østdanmark'!H272</f>
        <v>39030.898430904032</v>
      </c>
      <c r="I272" s="299">
        <f>'Resultater - Vestdanmark'!I272+'Resultater - Østdanmark'!I272</f>
        <v>0</v>
      </c>
      <c r="J272" s="300">
        <f>'Resultater - Vestdanmark'!J272+'Resultater - Østdanmark'!J272</f>
        <v>0</v>
      </c>
    </row>
    <row r="273" spans="1:10" hidden="1" x14ac:dyDescent="0.25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98">
        <f>'Resultater - Vestdanmark'!H273+'Resultater - Østdanmark'!H273</f>
        <v>128984.36974444673</v>
      </c>
      <c r="I273" s="299">
        <f>'Resultater - Vestdanmark'!I273+'Resultater - Østdanmark'!I273</f>
        <v>474787.00318747043</v>
      </c>
      <c r="J273" s="300">
        <f>'Resultater - Vestdanmark'!J273+'Resultater - Østdanmark'!J273</f>
        <v>411321.81092640071</v>
      </c>
    </row>
    <row r="274" spans="1:10" hidden="1" x14ac:dyDescent="0.25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98">
        <f>'Resultater - Vestdanmark'!H274+'Resultater - Østdanmark'!H274</f>
        <v>-615067.9268187969</v>
      </c>
      <c r="I274" s="299">
        <f>'Resultater - Vestdanmark'!I274+'Resultater - Østdanmark'!I274</f>
        <v>-2111981.1213815561</v>
      </c>
      <c r="J274" s="300">
        <f>'Resultater - Vestdanmark'!J274+'Resultater - Østdanmark'!J274</f>
        <v>-1829670.7653263691</v>
      </c>
    </row>
    <row r="275" spans="1:10" hidden="1" x14ac:dyDescent="0.25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98">
        <f>'Resultater - Vestdanmark'!H275+'Resultater - Østdanmark'!H275</f>
        <v>17267.806523585219</v>
      </c>
      <c r="I275" s="299">
        <f>'Resultater - Vestdanmark'!I275+'Resultater - Østdanmark'!I275</f>
        <v>59293.095600195971</v>
      </c>
      <c r="J275" s="300">
        <f>'Resultater - Vestdanmark'!J275+'Resultater - Østdanmark'!J275</f>
        <v>51367.335866342059</v>
      </c>
    </row>
    <row r="276" spans="1:10" hidden="1" x14ac:dyDescent="0.25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98">
        <f>'Resultater - Vestdanmark'!H276+'Resultater - Østdanmark'!H276</f>
        <v>4325.1052602347863</v>
      </c>
      <c r="I276" s="299">
        <f>'Resultater - Vestdanmark'!I276+'Resultater - Østdanmark'!I276</f>
        <v>0</v>
      </c>
      <c r="J276" s="300">
        <f>'Resultater - Vestdanmark'!J276+'Resultater - Østdanmark'!J276</f>
        <v>0</v>
      </c>
    </row>
    <row r="277" spans="1:10" hidden="1" x14ac:dyDescent="0.25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98">
        <f>'Resultater - Vestdanmark'!H277+'Resultater - Østdanmark'!H277</f>
        <v>-15120.574980864158</v>
      </c>
      <c r="I277" s="299">
        <f>'Resultater - Vestdanmark'!I277+'Resultater - Østdanmark'!I277</f>
        <v>0</v>
      </c>
      <c r="J277" s="300">
        <f>'Resultater - Vestdanmark'!J277+'Resultater - Østdanmark'!J277</f>
        <v>0</v>
      </c>
    </row>
    <row r="278" spans="1:10" hidden="1" x14ac:dyDescent="0.25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98">
        <f>'Resultater - Vestdanmark'!H278+'Resultater - Østdanmark'!H278</f>
        <v>3393.7349298895001</v>
      </c>
      <c r="I278" s="299">
        <f>'Resultater - Vestdanmark'!I278+'Resultater - Østdanmark'!I278</f>
        <v>0</v>
      </c>
      <c r="J278" s="300">
        <f>'Resultater - Vestdanmark'!J278+'Resultater - Østdanmark'!J278</f>
        <v>0</v>
      </c>
    </row>
    <row r="279" spans="1:10" hidden="1" x14ac:dyDescent="0.25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98">
        <f>'Resultater - Vestdanmark'!H279+'Resultater - Østdanmark'!H279</f>
        <v>2897.587436711749</v>
      </c>
      <c r="I279" s="299">
        <f>'Resultater - Vestdanmark'!I279+'Resultater - Østdanmark'!I279</f>
        <v>0</v>
      </c>
      <c r="J279" s="300">
        <f>'Resultater - Vestdanmark'!J279+'Resultater - Østdanmark'!J279</f>
        <v>0</v>
      </c>
    </row>
    <row r="280" spans="1:10" hidden="1" x14ac:dyDescent="0.25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98">
        <f>'Resultater - Vestdanmark'!H280+'Resultater - Østdanmark'!H280</f>
        <v>-7496.1780681710807</v>
      </c>
      <c r="I280" s="299">
        <f>'Resultater - Vestdanmark'!I280+'Resultater - Østdanmark'!I280</f>
        <v>0</v>
      </c>
      <c r="J280" s="300">
        <f>'Resultater - Vestdanmark'!J280+'Resultater - Østdanmark'!J280</f>
        <v>0</v>
      </c>
    </row>
    <row r="281" spans="1:10" hidden="1" x14ac:dyDescent="0.25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98">
        <f>'Resultater - Vestdanmark'!H281+'Resultater - Østdanmark'!H281</f>
        <v>4990.5497772321014</v>
      </c>
      <c r="I281" s="299">
        <f>'Resultater - Vestdanmark'!I281+'Resultater - Østdanmark'!I281</f>
        <v>0</v>
      </c>
      <c r="J281" s="300">
        <f>'Resultater - Vestdanmark'!J281+'Resultater - Østdanmark'!J281</f>
        <v>0</v>
      </c>
    </row>
    <row r="282" spans="1:10" hidden="1" x14ac:dyDescent="0.25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98">
        <f>'Resultater - Vestdanmark'!H282+'Resultater - Østdanmark'!H282</f>
        <v>6805636.3914233753</v>
      </c>
      <c r="I282" s="299">
        <f>'Resultater - Vestdanmark'!I282+'Resultater - Østdanmark'!I282</f>
        <v>2113155.2460848074</v>
      </c>
      <c r="J282" s="300">
        <f>'Resultater - Vestdanmark'!J282+'Resultater - Østdanmark'!J282</f>
        <v>0</v>
      </c>
    </row>
    <row r="283" spans="1:10" hidden="1" x14ac:dyDescent="0.25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98">
        <f>'Resultater - Vestdanmark'!H283+'Resultater - Østdanmark'!H283</f>
        <v>-24464206.304824531</v>
      </c>
      <c r="I283" s="299">
        <f>'Resultater - Vestdanmark'!I283+'Resultater - Østdanmark'!I283</f>
        <v>-7085965.0726980921</v>
      </c>
      <c r="J283" s="300">
        <f>'Resultater - Vestdanmark'!J283+'Resultater - Østdanmark'!J283</f>
        <v>0</v>
      </c>
    </row>
    <row r="284" spans="1:10" hidden="1" x14ac:dyDescent="0.25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98">
        <f>'Resultater - Vestdanmark'!H284+'Resultater - Østdanmark'!H284</f>
        <v>347650.80050176143</v>
      </c>
      <c r="I284" s="299">
        <f>'Resultater - Vestdanmark'!I284+'Resultater - Østdanmark'!I284</f>
        <v>100695.74296245222</v>
      </c>
      <c r="J284" s="300">
        <f>'Resultater - Vestdanmark'!J284+'Resultater - Østdanmark'!J284</f>
        <v>0</v>
      </c>
    </row>
    <row r="285" spans="1:10" hidden="1" x14ac:dyDescent="0.25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98">
        <f>'Resultater - Vestdanmark'!H285+'Resultater - Østdanmark'!H285</f>
        <v>271759.53465639014</v>
      </c>
      <c r="I285" s="299">
        <f>'Resultater - Vestdanmark'!I285+'Resultater - Østdanmark'!I285</f>
        <v>0</v>
      </c>
      <c r="J285" s="300">
        <f>'Resultater - Vestdanmark'!J285+'Resultater - Østdanmark'!J285</f>
        <v>0</v>
      </c>
    </row>
    <row r="286" spans="1:10" hidden="1" x14ac:dyDescent="0.25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98">
        <f>'Resultater - Vestdanmark'!H286+'Resultater - Østdanmark'!H286</f>
        <v>-661438.24431458686</v>
      </c>
      <c r="I286" s="299">
        <f>'Resultater - Vestdanmark'!I286+'Resultater - Østdanmark'!I286</f>
        <v>0</v>
      </c>
      <c r="J286" s="300">
        <f>'Resultater - Vestdanmark'!J286+'Resultater - Østdanmark'!J286</f>
        <v>0</v>
      </c>
    </row>
    <row r="287" spans="1:10" hidden="1" x14ac:dyDescent="0.25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98">
        <f>'Resultater - Vestdanmark'!H287+'Resultater - Østdanmark'!H287</f>
        <v>81365.524969577309</v>
      </c>
      <c r="I287" s="299">
        <f>'Resultater - Vestdanmark'!I287+'Resultater - Østdanmark'!I287</f>
        <v>0</v>
      </c>
      <c r="J287" s="300">
        <f>'Resultater - Vestdanmark'!J287+'Resultater - Østdanmark'!J287</f>
        <v>0</v>
      </c>
    </row>
    <row r="288" spans="1:10" hidden="1" x14ac:dyDescent="0.25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98">
        <f>'Resultater - Vestdanmark'!H288+'Resultater - Østdanmark'!H288</f>
        <v>107772.91589565421</v>
      </c>
      <c r="I288" s="299">
        <f>'Resultater - Vestdanmark'!I288+'Resultater - Østdanmark'!I288</f>
        <v>0</v>
      </c>
      <c r="J288" s="300">
        <f>'Resultater - Vestdanmark'!J288+'Resultater - Østdanmark'!J288</f>
        <v>0</v>
      </c>
    </row>
    <row r="289" spans="1:10" hidden="1" x14ac:dyDescent="0.25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98">
        <f>'Resultater - Vestdanmark'!H289+'Resultater - Østdanmark'!H289</f>
        <v>-172951.36870631672</v>
      </c>
      <c r="I289" s="299">
        <f>'Resultater - Vestdanmark'!I289+'Resultater - Østdanmark'!I289</f>
        <v>0</v>
      </c>
      <c r="J289" s="300">
        <f>'Resultater - Vestdanmark'!J289+'Resultater - Østdanmark'!J289</f>
        <v>0</v>
      </c>
    </row>
    <row r="290" spans="1:10" hidden="1" x14ac:dyDescent="0.25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98">
        <f>'Resultater - Vestdanmark'!H290+'Resultater - Østdanmark'!H290</f>
        <v>70826.515916993711</v>
      </c>
      <c r="I290" s="299">
        <f>'Resultater - Vestdanmark'!I290+'Resultater - Østdanmark'!I290</f>
        <v>0</v>
      </c>
      <c r="J290" s="300">
        <f>'Resultater - Vestdanmark'!J290+'Resultater - Østdanmark'!J290</f>
        <v>0</v>
      </c>
    </row>
    <row r="291" spans="1:10" hidden="1" x14ac:dyDescent="0.25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98">
        <f>'Resultater - Vestdanmark'!H291+'Resultater - Østdanmark'!H291</f>
        <v>722248.54897796328</v>
      </c>
      <c r="I291" s="299">
        <f>'Resultater - Vestdanmark'!I291+'Resultater - Østdanmark'!I291</f>
        <v>1753918.8542503898</v>
      </c>
      <c r="J291" s="300">
        <f>'Resultater - Vestdanmark'!J291+'Resultater - Østdanmark'!J291</f>
        <v>913706.19535776158</v>
      </c>
    </row>
    <row r="292" spans="1:10" hidden="1" x14ac:dyDescent="0.25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98">
        <f>'Resultater - Vestdanmark'!H292+'Resultater - Østdanmark'!H292</f>
        <v>-2596265.2850252553</v>
      </c>
      <c r="I292" s="299">
        <f>'Resultater - Vestdanmark'!I292+'Resultater - Østdanmark'!I292</f>
        <v>-5881351.0103394156</v>
      </c>
      <c r="J292" s="300">
        <f>'Resultater - Vestdanmark'!J292+'Resultater - Østdanmark'!J292</f>
        <v>-3063897.0795017099</v>
      </c>
    </row>
    <row r="293" spans="1:10" hidden="1" x14ac:dyDescent="0.25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98">
        <f>'Resultater - Vestdanmark'!H293+'Resultater - Østdanmark'!H293</f>
        <v>44451.157794126186</v>
      </c>
      <c r="I293" s="299">
        <f>'Resultater - Vestdanmark'!I293+'Resultater - Østdanmark'!I293</f>
        <v>100695.74296245222</v>
      </c>
      <c r="J293" s="300">
        <f>'Resultater - Vestdanmark'!J293+'Resultater - Østdanmark'!J293</f>
        <v>52457.571778751437</v>
      </c>
    </row>
    <row r="294" spans="1:10" hidden="1" x14ac:dyDescent="0.25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98">
        <f>'Resultater - Vestdanmark'!H294+'Resultater - Østdanmark'!H294</f>
        <v>28840.49606644551</v>
      </c>
      <c r="I294" s="299">
        <f>'Resultater - Vestdanmark'!I294+'Resultater - Østdanmark'!I294</f>
        <v>0</v>
      </c>
      <c r="J294" s="300">
        <f>'Resultater - Vestdanmark'!J294+'Resultater - Østdanmark'!J294</f>
        <v>0</v>
      </c>
    </row>
    <row r="295" spans="1:10" hidden="1" x14ac:dyDescent="0.25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98">
        <f>'Resultater - Vestdanmark'!H295+'Resultater - Østdanmark'!H295</f>
        <v>-70195.171284316559</v>
      </c>
      <c r="I295" s="299">
        <f>'Resultater - Vestdanmark'!I295+'Resultater - Østdanmark'!I295</f>
        <v>0</v>
      </c>
      <c r="J295" s="300">
        <f>'Resultater - Vestdanmark'!J295+'Resultater - Østdanmark'!J295</f>
        <v>0</v>
      </c>
    </row>
    <row r="296" spans="1:10" hidden="1" x14ac:dyDescent="0.25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98">
        <f>'Resultater - Vestdanmark'!H296+'Resultater - Østdanmark'!H296</f>
        <v>10403.519233105488</v>
      </c>
      <c r="I296" s="299">
        <f>'Resultater - Vestdanmark'!I296+'Resultater - Østdanmark'!I296</f>
        <v>0</v>
      </c>
      <c r="J296" s="300">
        <f>'Resultater - Vestdanmark'!J296+'Resultater - Østdanmark'!J296</f>
        <v>0</v>
      </c>
    </row>
    <row r="297" spans="1:10" hidden="1" x14ac:dyDescent="0.25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98">
        <f>'Resultater - Vestdanmark'!H297+'Resultater - Østdanmark'!H297</f>
        <v>11437.406826914037</v>
      </c>
      <c r="I297" s="299">
        <f>'Resultater - Vestdanmark'!I297+'Resultater - Østdanmark'!I297</f>
        <v>0</v>
      </c>
      <c r="J297" s="300">
        <f>'Resultater - Vestdanmark'!J297+'Resultater - Østdanmark'!J297</f>
        <v>0</v>
      </c>
    </row>
    <row r="298" spans="1:10" hidden="1" x14ac:dyDescent="0.25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98">
        <f>'Resultater - Vestdanmark'!H298+'Resultater - Østdanmark'!H298</f>
        <v>-18354.473837201975</v>
      </c>
      <c r="I298" s="299">
        <f>'Resultater - Vestdanmark'!I298+'Resultater - Østdanmark'!I298</f>
        <v>0</v>
      </c>
      <c r="J298" s="300">
        <f>'Resultater - Vestdanmark'!J298+'Resultater - Østdanmark'!J298</f>
        <v>0</v>
      </c>
    </row>
    <row r="299" spans="1:10" hidden="1" x14ac:dyDescent="0.25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98">
        <f>'Resultater - Vestdanmark'!H299+'Resultater - Østdanmark'!H299</f>
        <v>9055.9855765916054</v>
      </c>
      <c r="I299" s="299">
        <f>'Resultater - Vestdanmark'!I299+'Resultater - Østdanmark'!I299</f>
        <v>0</v>
      </c>
      <c r="J299" s="300">
        <f>'Resultater - Vestdanmark'!J299+'Resultater - Østdanmark'!J299</f>
        <v>0</v>
      </c>
    </row>
    <row r="300" spans="1:10" hidden="1" x14ac:dyDescent="0.25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98">
        <f>'Resultater - Vestdanmark'!H300+'Resultater - Østdanmark'!H300</f>
        <v>614076.2528869072</v>
      </c>
      <c r="I300" s="299">
        <f>'Resultater - Vestdanmark'!I300+'Resultater - Østdanmark'!I300</f>
        <v>294252.63989085495</v>
      </c>
      <c r="J300" s="300">
        <f>'Resultater - Vestdanmark'!J300+'Resultater - Østdanmark'!J300</f>
        <v>0</v>
      </c>
    </row>
    <row r="301" spans="1:10" hidden="1" x14ac:dyDescent="0.25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98">
        <f>'Resultater - Vestdanmark'!H301+'Resultater - Østdanmark'!H301</f>
        <v>327981.19704816159</v>
      </c>
      <c r="I301" s="299">
        <f>'Resultater - Vestdanmark'!I301+'Resultater - Østdanmark'!I301</f>
        <v>145753.87293101114</v>
      </c>
      <c r="J301" s="300">
        <f>'Resultater - Vestdanmark'!J301+'Resultater - Østdanmark'!J301</f>
        <v>0</v>
      </c>
    </row>
    <row r="302" spans="1:10" hidden="1" x14ac:dyDescent="0.25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98">
        <f>'Resultater - Vestdanmark'!H302+'Resultater - Østdanmark'!H302</f>
        <v>-24423487.330729261</v>
      </c>
      <c r="I302" s="299">
        <f>'Resultater - Vestdanmark'!I302+'Resultater - Østdanmark'!I302</f>
        <v>-10917192.160129664</v>
      </c>
      <c r="J302" s="300">
        <f>'Resultater - Vestdanmark'!J302+'Resultater - Østdanmark'!J302</f>
        <v>0</v>
      </c>
    </row>
    <row r="303" spans="1:10" hidden="1" x14ac:dyDescent="0.25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98">
        <f>'Resultater - Vestdanmark'!H303+'Resultater - Østdanmark'!H303</f>
        <v>317323.11758989503</v>
      </c>
      <c r="I303" s="299">
        <f>'Resultater - Vestdanmark'!I303+'Resultater - Østdanmark'!I303</f>
        <v>141842.04756138998</v>
      </c>
      <c r="J303" s="300">
        <f>'Resultater - Vestdanmark'!J303+'Resultater - Østdanmark'!J303</f>
        <v>0</v>
      </c>
    </row>
    <row r="304" spans="1:10" hidden="1" x14ac:dyDescent="0.25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98">
        <f>'Resultater - Vestdanmark'!H304+'Resultater - Østdanmark'!H304</f>
        <v>13323.118692618173</v>
      </c>
      <c r="I304" s="299">
        <f>'Resultater - Vestdanmark'!I304+'Resultater - Østdanmark'!I304</f>
        <v>0</v>
      </c>
      <c r="J304" s="300">
        <f>'Resultater - Vestdanmark'!J304+'Resultater - Østdanmark'!J304</f>
        <v>0</v>
      </c>
    </row>
    <row r="305" spans="1:10" hidden="1" x14ac:dyDescent="0.25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98">
        <f>'Resultater - Vestdanmark'!H305+'Resultater - Østdanmark'!H305</f>
        <v>7115.9443093208292</v>
      </c>
      <c r="I305" s="299">
        <f>'Resultater - Vestdanmark'!I305+'Resultater - Østdanmark'!I305</f>
        <v>0</v>
      </c>
      <c r="J305" s="300">
        <f>'Resultater - Vestdanmark'!J305+'Resultater - Østdanmark'!J305</f>
        <v>0</v>
      </c>
    </row>
    <row r="306" spans="1:10" hidden="1" x14ac:dyDescent="0.25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98">
        <f>'Resultater - Vestdanmark'!H306+'Resultater - Østdanmark'!H306</f>
        <v>-365881.10046015814</v>
      </c>
      <c r="I306" s="299">
        <f>'Resultater - Vestdanmark'!I306+'Resultater - Østdanmark'!I306</f>
        <v>0</v>
      </c>
      <c r="J306" s="300">
        <f>'Resultater - Vestdanmark'!J306+'Resultater - Østdanmark'!J306</f>
        <v>0</v>
      </c>
    </row>
    <row r="307" spans="1:10" hidden="1" x14ac:dyDescent="0.25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98">
        <f>'Resultater - Vestdanmark'!H307+'Resultater - Østdanmark'!H307</f>
        <v>40352.129195848909</v>
      </c>
      <c r="I307" s="299">
        <f>'Resultater - Vestdanmark'!I307+'Resultater - Østdanmark'!I307</f>
        <v>0</v>
      </c>
      <c r="J307" s="300">
        <f>'Resultater - Vestdanmark'!J307+'Resultater - Østdanmark'!J307</f>
        <v>0</v>
      </c>
    </row>
    <row r="308" spans="1:10" hidden="1" x14ac:dyDescent="0.25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98">
        <f>'Resultater - Vestdanmark'!H308+'Resultater - Østdanmark'!H308</f>
        <v>6434.7975318427207</v>
      </c>
      <c r="I308" s="299">
        <f>'Resultater - Vestdanmark'!I308+'Resultater - Østdanmark'!I308</f>
        <v>0</v>
      </c>
      <c r="J308" s="300">
        <f>'Resultater - Vestdanmark'!J308+'Resultater - Østdanmark'!J308</f>
        <v>0</v>
      </c>
    </row>
    <row r="309" spans="1:10" hidden="1" x14ac:dyDescent="0.25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98">
        <f>'Resultater - Vestdanmark'!H309+'Resultater - Østdanmark'!H309</f>
        <v>3436.8575357448558</v>
      </c>
      <c r="I309" s="299">
        <f>'Resultater - Vestdanmark'!I309+'Resultater - Østdanmark'!I309</f>
        <v>0</v>
      </c>
      <c r="J309" s="300">
        <f>'Resultater - Vestdanmark'!J309+'Resultater - Østdanmark'!J309</f>
        <v>0</v>
      </c>
    </row>
    <row r="310" spans="1:10" hidden="1" x14ac:dyDescent="0.25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98">
        <f>'Resultater - Vestdanmark'!H310+'Resultater - Østdanmark'!H310</f>
        <v>-120130.14872758326</v>
      </c>
      <c r="I310" s="299">
        <f>'Resultater - Vestdanmark'!I310+'Resultater - Østdanmark'!I310</f>
        <v>0</v>
      </c>
      <c r="J310" s="300">
        <f>'Resultater - Vestdanmark'!J310+'Resultater - Østdanmark'!J310</f>
        <v>0</v>
      </c>
    </row>
    <row r="311" spans="1:10" hidden="1" x14ac:dyDescent="0.25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98">
        <f>'Resultater - Vestdanmark'!H311+'Resultater - Østdanmark'!H311</f>
        <v>42778.549000109218</v>
      </c>
      <c r="I311" s="299">
        <f>'Resultater - Vestdanmark'!I311+'Resultater - Østdanmark'!I311</f>
        <v>0</v>
      </c>
      <c r="J311" s="300">
        <f>'Resultater - Vestdanmark'!J311+'Resultater - Østdanmark'!J311</f>
        <v>0</v>
      </c>
    </row>
    <row r="312" spans="1:10" hidden="1" x14ac:dyDescent="0.25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98">
        <f>'Resultater - Vestdanmark'!H312+'Resultater - Østdanmark'!H312</f>
        <v>43184.19576890875</v>
      </c>
      <c r="I312" s="299">
        <f>'Resultater - Vestdanmark'!I312+'Resultater - Østdanmark'!I312</f>
        <v>161838.9519399702</v>
      </c>
      <c r="J312" s="300">
        <f>'Resultater - Vestdanmark'!J312+'Resultater - Østdanmark'!J312</f>
        <v>154945.78760323583</v>
      </c>
    </row>
    <row r="313" spans="1:10" hidden="1" x14ac:dyDescent="0.25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98">
        <f>'Resultater - Vestdanmark'!H313+'Resultater - Østdanmark'!H313</f>
        <v>23064.894881153006</v>
      </c>
      <c r="I313" s="299">
        <f>'Resultater - Vestdanmark'!I313+'Resultater - Østdanmark'!I313</f>
        <v>80164.630112056126</v>
      </c>
      <c r="J313" s="300">
        <f>'Resultater - Vestdanmark'!J313+'Resultater - Østdanmark'!J313</f>
        <v>76750.198896752045</v>
      </c>
    </row>
    <row r="314" spans="1:10" hidden="1" x14ac:dyDescent="0.25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98">
        <f>'Resultater - Vestdanmark'!H314+'Resultater - Østdanmark'!H314</f>
        <v>-1717553.2408088709</v>
      </c>
      <c r="I314" s="299">
        <f>'Resultater - Vestdanmark'!I314+'Resultater - Østdanmark'!I314</f>
        <v>-6004455.6880713161</v>
      </c>
      <c r="J314" s="300">
        <f>'Resultater - Vestdanmark'!J314+'Resultater - Østdanmark'!J314</f>
        <v>-5748709.4705237169</v>
      </c>
    </row>
    <row r="315" spans="1:10" hidden="1" x14ac:dyDescent="0.25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98">
        <f>'Resultater - Vestdanmark'!H315+'Resultater - Østdanmark'!H315</f>
        <v>40573.414332296394</v>
      </c>
      <c r="I315" s="299">
        <f>'Resultater - Vestdanmark'!I315+'Resultater - Østdanmark'!I315</f>
        <v>141842.04756138998</v>
      </c>
      <c r="J315" s="300">
        <f>'Resultater - Vestdanmark'!J315+'Resultater - Østdanmark'!J315</f>
        <v>135800.60616561142</v>
      </c>
    </row>
    <row r="316" spans="1:10" hidden="1" x14ac:dyDescent="0.25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98">
        <f>'Resultater - Vestdanmark'!H316+'Resultater - Østdanmark'!H316</f>
        <v>936.9327720614383</v>
      </c>
      <c r="I316" s="299">
        <f>'Resultater - Vestdanmark'!I316+'Resultater - Østdanmark'!I316</f>
        <v>0</v>
      </c>
      <c r="J316" s="300">
        <f>'Resultater - Vestdanmark'!J316+'Resultater - Østdanmark'!J316</f>
        <v>0</v>
      </c>
    </row>
    <row r="317" spans="1:10" hidden="1" x14ac:dyDescent="0.25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98">
        <f>'Resultater - Vestdanmark'!H317+'Resultater - Østdanmark'!H317</f>
        <v>500.42047822187442</v>
      </c>
      <c r="I317" s="299">
        <f>'Resultater - Vestdanmark'!I317+'Resultater - Østdanmark'!I317</f>
        <v>0</v>
      </c>
      <c r="J317" s="300">
        <f>'Resultater - Vestdanmark'!J317+'Resultater - Østdanmark'!J317</f>
        <v>0</v>
      </c>
    </row>
    <row r="318" spans="1:10" hidden="1" x14ac:dyDescent="0.25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98">
        <f>'Resultater - Vestdanmark'!H318+'Resultater - Østdanmark'!H318</f>
        <v>-25730.161353959949</v>
      </c>
      <c r="I318" s="299">
        <f>'Resultater - Vestdanmark'!I318+'Resultater - Østdanmark'!I318</f>
        <v>0</v>
      </c>
      <c r="J318" s="300">
        <f>'Resultater - Vestdanmark'!J318+'Resultater - Østdanmark'!J318</f>
        <v>0</v>
      </c>
    </row>
    <row r="319" spans="1:10" hidden="1" x14ac:dyDescent="0.25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98">
        <f>'Resultater - Vestdanmark'!H319+'Resultater - Østdanmark'!H319</f>
        <v>5159.4843435562807</v>
      </c>
      <c r="I319" s="299">
        <f>'Resultater - Vestdanmark'!I319+'Resultater - Østdanmark'!I319</f>
        <v>0</v>
      </c>
      <c r="J319" s="300">
        <f>'Resultater - Vestdanmark'!J319+'Resultater - Østdanmark'!J319</f>
        <v>0</v>
      </c>
    </row>
    <row r="320" spans="1:10" hidden="1" x14ac:dyDescent="0.25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98">
        <f>'Resultater - Vestdanmark'!H320+'Resultater - Østdanmark'!H320</f>
        <v>452.51962609204435</v>
      </c>
      <c r="I320" s="299">
        <f>'Resultater - Vestdanmark'!I320+'Resultater - Østdanmark'!I320</f>
        <v>0</v>
      </c>
      <c r="J320" s="300">
        <f>'Resultater - Vestdanmark'!J320+'Resultater - Østdanmark'!J320</f>
        <v>0</v>
      </c>
    </row>
    <row r="321" spans="1:10" hidden="1" x14ac:dyDescent="0.25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98">
        <f>'Resultater - Vestdanmark'!H321+'Resultater - Østdanmark'!H321</f>
        <v>241.69299489389135</v>
      </c>
      <c r="I321" s="299">
        <f>'Resultater - Vestdanmark'!I321+'Resultater - Østdanmark'!I321</f>
        <v>0</v>
      </c>
      <c r="J321" s="300">
        <f>'Resultater - Vestdanmark'!J321+'Resultater - Østdanmark'!J321</f>
        <v>0</v>
      </c>
    </row>
    <row r="322" spans="1:10" hidden="1" x14ac:dyDescent="0.25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98">
        <f>'Resultater - Vestdanmark'!H322+'Resultater - Østdanmark'!H322</f>
        <v>-8448.0125000949847</v>
      </c>
      <c r="I322" s="299">
        <f>'Resultater - Vestdanmark'!I322+'Resultater - Østdanmark'!I322</f>
        <v>0</v>
      </c>
      <c r="J322" s="300">
        <f>'Resultater - Vestdanmark'!J322+'Resultater - Østdanmark'!J322</f>
        <v>0</v>
      </c>
    </row>
    <row r="323" spans="1:10" hidden="1" x14ac:dyDescent="0.25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98">
        <f>'Resultater - Vestdanmark'!H323+'Resultater - Østdanmark'!H323</f>
        <v>5469.7300540171764</v>
      </c>
      <c r="I323" s="299">
        <f>'Resultater - Vestdanmark'!I323+'Resultater - Østdanmark'!I323</f>
        <v>0</v>
      </c>
      <c r="J323" s="300">
        <f>'Resultater - Vestdanmark'!J323+'Resultater - Østdanmark'!J323</f>
        <v>0</v>
      </c>
    </row>
    <row r="324" spans="1:10" hidden="1" x14ac:dyDescent="0.25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98">
        <f>'Resultater - Vestdanmark'!H324+'Resultater - Østdanmark'!H324</f>
        <v>1244876.7164053498</v>
      </c>
      <c r="I324" s="299">
        <f>'Resultater - Vestdanmark'!I324+'Resultater - Østdanmark'!I324</f>
        <v>613508.54357171454</v>
      </c>
      <c r="J324" s="300">
        <f>'Resultater - Vestdanmark'!J324+'Resultater - Østdanmark'!J324</f>
        <v>0</v>
      </c>
    </row>
    <row r="325" spans="1:10" hidden="1" x14ac:dyDescent="0.25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98">
        <f>'Resultater - Vestdanmark'!H325+'Resultater - Østdanmark'!H325</f>
        <v>206810.63376166133</v>
      </c>
      <c r="I325" s="299">
        <f>'Resultater - Vestdanmark'!I325+'Resultater - Østdanmark'!I325</f>
        <v>94523.594496768157</v>
      </c>
      <c r="J325" s="300">
        <f>'Resultater - Vestdanmark'!J325+'Resultater - Østdanmark'!J325</f>
        <v>0</v>
      </c>
    </row>
    <row r="326" spans="1:10" hidden="1" x14ac:dyDescent="0.25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98">
        <f>'Resultater - Vestdanmark'!H326+'Resultater - Østdanmark'!H326</f>
        <v>-13068327.181838907</v>
      </c>
      <c r="I326" s="299">
        <f>'Resultater - Vestdanmark'!I326+'Resultater - Østdanmark'!I326</f>
        <v>-6007855.5824217051</v>
      </c>
      <c r="J326" s="300">
        <f>'Resultater - Vestdanmark'!J326+'Resultater - Østdanmark'!J326</f>
        <v>0</v>
      </c>
    </row>
    <row r="327" spans="1:10" hidden="1" x14ac:dyDescent="0.25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98">
        <f>'Resultater - Vestdanmark'!H327+'Resultater - Østdanmark'!H327</f>
        <v>198089.21270536177</v>
      </c>
      <c r="I327" s="299">
        <f>'Resultater - Vestdanmark'!I327+'Resultater - Østdanmark'!I327</f>
        <v>91066.849322788752</v>
      </c>
      <c r="J327" s="300">
        <f>'Resultater - Vestdanmark'!J327+'Resultater - Østdanmark'!J327</f>
        <v>0</v>
      </c>
    </row>
    <row r="328" spans="1:10" hidden="1" x14ac:dyDescent="0.25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98">
        <f>'Resultater - Vestdanmark'!H328+'Resultater - Østdanmark'!H328</f>
        <v>83193.972065214504</v>
      </c>
      <c r="I328" s="299">
        <f>'Resultater - Vestdanmark'!I328+'Resultater - Østdanmark'!I328</f>
        <v>0</v>
      </c>
      <c r="J328" s="300">
        <f>'Resultater - Vestdanmark'!J328+'Resultater - Østdanmark'!J328</f>
        <v>0</v>
      </c>
    </row>
    <row r="329" spans="1:10" hidden="1" x14ac:dyDescent="0.25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98">
        <f>'Resultater - Vestdanmark'!H329+'Resultater - Østdanmark'!H329</f>
        <v>13820.965450810663</v>
      </c>
      <c r="I329" s="299">
        <f>'Resultater - Vestdanmark'!I329+'Resultater - Østdanmark'!I329</f>
        <v>0</v>
      </c>
      <c r="J329" s="300">
        <f>'Resultater - Vestdanmark'!J329+'Resultater - Østdanmark'!J329</f>
        <v>0</v>
      </c>
    </row>
    <row r="330" spans="1:10" hidden="1" x14ac:dyDescent="0.25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98">
        <f>'Resultater - Vestdanmark'!H330+'Resultater - Østdanmark'!H330</f>
        <v>-655008.26237096614</v>
      </c>
      <c r="I330" s="299">
        <f>'Resultater - Vestdanmark'!I330+'Resultater - Østdanmark'!I330</f>
        <v>0</v>
      </c>
      <c r="J330" s="300">
        <f>'Resultater - Vestdanmark'!J330+'Resultater - Østdanmark'!J330</f>
        <v>0</v>
      </c>
    </row>
    <row r="331" spans="1:10" hidden="1" x14ac:dyDescent="0.25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98">
        <f>'Resultater - Vestdanmark'!H331+'Resultater - Østdanmark'!H331</f>
        <v>77590.310666771984</v>
      </c>
      <c r="I331" s="299">
        <f>'Resultater - Vestdanmark'!I331+'Resultater - Østdanmark'!I331</f>
        <v>0</v>
      </c>
      <c r="J331" s="300">
        <f>'Resultater - Vestdanmark'!J331+'Resultater - Østdanmark'!J331</f>
        <v>0</v>
      </c>
    </row>
    <row r="332" spans="1:10" hidden="1" x14ac:dyDescent="0.25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98">
        <f>'Resultater - Vestdanmark'!H332+'Resultater - Østdanmark'!H332</f>
        <v>72418.22612376757</v>
      </c>
      <c r="I332" s="299">
        <f>'Resultater - Vestdanmark'!I332+'Resultater - Østdanmark'!I332</f>
        <v>0</v>
      </c>
      <c r="J332" s="300">
        <f>'Resultater - Vestdanmark'!J332+'Resultater - Østdanmark'!J332</f>
        <v>0</v>
      </c>
    </row>
    <row r="333" spans="1:10" hidden="1" x14ac:dyDescent="0.25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98">
        <f>'Resultater - Vestdanmark'!H333+'Resultater - Østdanmark'!H333</f>
        <v>12030.797140939529</v>
      </c>
      <c r="I333" s="299">
        <f>'Resultater - Vestdanmark'!I333+'Resultater - Østdanmark'!I333</f>
        <v>0</v>
      </c>
      <c r="J333" s="300">
        <f>'Resultater - Vestdanmark'!J333+'Resultater - Østdanmark'!J333</f>
        <v>0</v>
      </c>
    </row>
    <row r="334" spans="1:10" hidden="1" x14ac:dyDescent="0.25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98">
        <f>'Resultater - Vestdanmark'!H334+'Resultater - Østdanmark'!H334</f>
        <v>-434413.67575579346</v>
      </c>
      <c r="I334" s="299">
        <f>'Resultater - Vestdanmark'!I334+'Resultater - Østdanmark'!I334</f>
        <v>0</v>
      </c>
      <c r="J334" s="300">
        <f>'Resultater - Vestdanmark'!J334+'Resultater - Østdanmark'!J334</f>
        <v>0</v>
      </c>
    </row>
    <row r="335" spans="1:10" hidden="1" x14ac:dyDescent="0.25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98">
        <f>'Resultater - Vestdanmark'!H335+'Resultater - Østdanmark'!H335</f>
        <v>148249.80065505981</v>
      </c>
      <c r="I335" s="299">
        <f>'Resultater - Vestdanmark'!I335+'Resultater - Østdanmark'!I335</f>
        <v>0</v>
      </c>
      <c r="J335" s="300">
        <f>'Resultater - Vestdanmark'!J335+'Resultater - Østdanmark'!J335</f>
        <v>0</v>
      </c>
    </row>
    <row r="336" spans="1:10" hidden="1" x14ac:dyDescent="0.25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98">
        <f>'Resultater - Vestdanmark'!H336+'Resultater - Østdanmark'!H336</f>
        <v>90727.938572043873</v>
      </c>
      <c r="I336" s="299">
        <f>'Resultater - Vestdanmark'!I336+'Resultater - Østdanmark'!I336</f>
        <v>349699.86983587721</v>
      </c>
      <c r="J336" s="300">
        <f>'Resultater - Vestdanmark'!J336+'Resultater - Østdanmark'!J336</f>
        <v>383496.06856011332</v>
      </c>
    </row>
    <row r="337" spans="1:10" hidden="1" x14ac:dyDescent="0.25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98">
        <f>'Resultater - Vestdanmark'!H337+'Resultater - Østdanmark'!H337</f>
        <v>15072.578857570828</v>
      </c>
      <c r="I337" s="299">
        <f>'Resultater - Vestdanmark'!I337+'Resultater - Østdanmark'!I337</f>
        <v>53878.44886315785</v>
      </c>
      <c r="J337" s="300">
        <f>'Resultater - Vestdanmark'!J337+'Resultater - Østdanmark'!J337</f>
        <v>59085.447554885861</v>
      </c>
    </row>
    <row r="338" spans="1:10" hidden="1" x14ac:dyDescent="0.25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98">
        <f>'Resultater - Vestdanmark'!H338+'Resultater - Østdanmark'!H338</f>
        <v>-952433.57849676628</v>
      </c>
      <c r="I338" s="299">
        <f>'Resultater - Vestdanmark'!I338+'Resultater - Østdanmark'!I338</f>
        <v>-3424477.6819803715</v>
      </c>
      <c r="J338" s="300">
        <f>'Resultater - Vestdanmark'!J338+'Resultater - Østdanmark'!J338</f>
        <v>-3755430.9886579998</v>
      </c>
    </row>
    <row r="339" spans="1:10" hidden="1" x14ac:dyDescent="0.25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98">
        <f>'Resultater - Vestdanmark'!H339+'Resultater - Østdanmark'!H339</f>
        <v>25327.986699790868</v>
      </c>
      <c r="I339" s="299">
        <f>'Resultater - Vestdanmark'!I339+'Resultater - Østdanmark'!I339</f>
        <v>91066.849322788752</v>
      </c>
      <c r="J339" s="300">
        <f>'Resultater - Vestdanmark'!J339+'Resultater - Østdanmark'!J339</f>
        <v>99867.86299873743</v>
      </c>
    </row>
    <row r="340" spans="1:10" hidden="1" x14ac:dyDescent="0.25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98">
        <f>'Resultater - Vestdanmark'!H340+'Resultater - Østdanmark'!H340</f>
        <v>6063.2651310986303</v>
      </c>
      <c r="I340" s="299">
        <f>'Resultater - Vestdanmark'!I340+'Resultater - Østdanmark'!I340</f>
        <v>0</v>
      </c>
      <c r="J340" s="300">
        <f>'Resultater - Vestdanmark'!J340+'Resultater - Østdanmark'!J340</f>
        <v>0</v>
      </c>
    </row>
    <row r="341" spans="1:10" hidden="1" x14ac:dyDescent="0.25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98">
        <f>'Resultater - Vestdanmark'!H341+'Resultater - Østdanmark'!H341</f>
        <v>1007.2866557006012</v>
      </c>
      <c r="I341" s="299">
        <f>'Resultater - Vestdanmark'!I341+'Resultater - Østdanmark'!I341</f>
        <v>0</v>
      </c>
      <c r="J341" s="300">
        <f>'Resultater - Vestdanmark'!J341+'Resultater - Østdanmark'!J341</f>
        <v>0</v>
      </c>
    </row>
    <row r="342" spans="1:10" hidden="1" x14ac:dyDescent="0.25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98">
        <f>'Resultater - Vestdanmark'!H342+'Resultater - Østdanmark'!H342</f>
        <v>-47737.698528232206</v>
      </c>
      <c r="I342" s="299">
        <f>'Resultater - Vestdanmark'!I342+'Resultater - Østdanmark'!I342</f>
        <v>0</v>
      </c>
      <c r="J342" s="300">
        <f>'Resultater - Vestdanmark'!J342+'Resultater - Østdanmark'!J342</f>
        <v>0</v>
      </c>
    </row>
    <row r="343" spans="1:10" hidden="1" x14ac:dyDescent="0.25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98">
        <f>'Resultater - Vestdanmark'!H343+'Resultater - Østdanmark'!H343</f>
        <v>9920.8146156029889</v>
      </c>
      <c r="I343" s="299">
        <f>'Resultater - Vestdanmark'!I343+'Resultater - Østdanmark'!I343</f>
        <v>0</v>
      </c>
      <c r="J343" s="300">
        <f>'Resultater - Vestdanmark'!J343+'Resultater - Østdanmark'!J343</f>
        <v>0</v>
      </c>
    </row>
    <row r="344" spans="1:10" hidden="1" x14ac:dyDescent="0.25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98">
        <f>'Resultater - Vestdanmark'!H344+'Resultater - Østdanmark'!H344</f>
        <v>5277.9173107404822</v>
      </c>
      <c r="I344" s="299">
        <f>'Resultater - Vestdanmark'!I344+'Resultater - Østdanmark'!I344</f>
        <v>0</v>
      </c>
      <c r="J344" s="300">
        <f>'Resultater - Vestdanmark'!J344+'Resultater - Østdanmark'!J344</f>
        <v>0</v>
      </c>
    </row>
    <row r="345" spans="1:10" hidden="1" x14ac:dyDescent="0.25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98">
        <f>'Resultater - Vestdanmark'!H345+'Resultater - Østdanmark'!H345</f>
        <v>876.81728607450714</v>
      </c>
      <c r="I345" s="299">
        <f>'Resultater - Vestdanmark'!I345+'Resultater - Østdanmark'!I345</f>
        <v>0</v>
      </c>
      <c r="J345" s="300">
        <f>'Resultater - Vestdanmark'!J345+'Resultater - Østdanmark'!J345</f>
        <v>0</v>
      </c>
    </row>
    <row r="346" spans="1:10" hidden="1" x14ac:dyDescent="0.25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98">
        <f>'Resultater - Vestdanmark'!H346+'Resultater - Østdanmark'!H346</f>
        <v>-31660.530532401586</v>
      </c>
      <c r="I346" s="299">
        <f>'Resultater - Vestdanmark'!I346+'Resultater - Østdanmark'!I346</f>
        <v>0</v>
      </c>
      <c r="J346" s="300">
        <f>'Resultater - Vestdanmark'!J346+'Resultater - Østdanmark'!J346</f>
        <v>0</v>
      </c>
    </row>
    <row r="347" spans="1:10" hidden="1" x14ac:dyDescent="0.25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98">
        <f>'Resultater - Vestdanmark'!H347+'Resultater - Østdanmark'!H347</f>
        <v>18955.444004025605</v>
      </c>
      <c r="I347" s="299">
        <f>'Resultater - Vestdanmark'!I347+'Resultater - Østdanmark'!I347</f>
        <v>0</v>
      </c>
      <c r="J347" s="300">
        <f>'Resultater - Vestdanmark'!J347+'Resultater - Østdanmark'!J347</f>
        <v>0</v>
      </c>
    </row>
    <row r="348" spans="1:10" hidden="1" x14ac:dyDescent="0.25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98">
        <f>'Resultater - Vestdanmark'!H348+'Resultater - Østdanmark'!H348</f>
        <v>803523.26097451104</v>
      </c>
      <c r="I348" s="299">
        <f>'Resultater - Vestdanmark'!I348+'Resultater - Østdanmark'!I348</f>
        <v>375147.61488699599</v>
      </c>
      <c r="J348" s="300">
        <f>'Resultater - Vestdanmark'!J348+'Resultater - Østdanmark'!J348</f>
        <v>0</v>
      </c>
    </row>
    <row r="349" spans="1:10" hidden="1" x14ac:dyDescent="0.25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98">
        <f>'Resultater - Vestdanmark'!H349+'Resultater - Østdanmark'!H349</f>
        <v>-1767751.1741439244</v>
      </c>
      <c r="I349" s="299">
        <f>'Resultater - Vestdanmark'!I349+'Resultater - Østdanmark'!I349</f>
        <v>-769892.49323823804</v>
      </c>
      <c r="J349" s="300">
        <f>'Resultater - Vestdanmark'!J349+'Resultater - Østdanmark'!J349</f>
        <v>0</v>
      </c>
    </row>
    <row r="350" spans="1:10" hidden="1" x14ac:dyDescent="0.25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98">
        <f>'Resultater - Vestdanmark'!H350+'Resultater - Østdanmark'!H350</f>
        <v>31589.622964822924</v>
      </c>
      <c r="I350" s="299">
        <f>'Resultater - Vestdanmark'!I350+'Resultater - Østdanmark'!I350</f>
        <v>13757.939432070387</v>
      </c>
      <c r="J350" s="300">
        <f>'Resultater - Vestdanmark'!J350+'Resultater - Østdanmark'!J350</f>
        <v>0</v>
      </c>
    </row>
    <row r="351" spans="1:10" hidden="1" x14ac:dyDescent="0.25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98">
        <f>'Resultater - Vestdanmark'!H351+'Resultater - Østdanmark'!H351</f>
        <v>27634.888548227009</v>
      </c>
      <c r="I351" s="299">
        <f>'Resultater - Vestdanmark'!I351+'Resultater - Østdanmark'!I351</f>
        <v>0</v>
      </c>
      <c r="J351" s="300">
        <f>'Resultater - Vestdanmark'!J351+'Resultater - Østdanmark'!J351</f>
        <v>0</v>
      </c>
    </row>
    <row r="352" spans="1:10" hidden="1" x14ac:dyDescent="0.25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98">
        <f>'Resultater - Vestdanmark'!H352+'Resultater - Østdanmark'!H352</f>
        <v>-46058.147580378347</v>
      </c>
      <c r="I352" s="299">
        <f>'Resultater - Vestdanmark'!I352+'Resultater - Østdanmark'!I352</f>
        <v>0</v>
      </c>
      <c r="J352" s="300">
        <f>'Resultater - Vestdanmark'!J352+'Resultater - Østdanmark'!J352</f>
        <v>0</v>
      </c>
    </row>
    <row r="353" spans="1:10" hidden="1" x14ac:dyDescent="0.25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98">
        <f>'Resultater - Vestdanmark'!H353+'Resultater - Østdanmark'!H353</f>
        <v>4910.5789263453398</v>
      </c>
      <c r="I353" s="299">
        <f>'Resultater - Vestdanmark'!I353+'Resultater - Østdanmark'!I353</f>
        <v>0</v>
      </c>
      <c r="J353" s="300">
        <f>'Resultater - Vestdanmark'!J353+'Resultater - Østdanmark'!J353</f>
        <v>0</v>
      </c>
    </row>
    <row r="354" spans="1:10" hidden="1" x14ac:dyDescent="0.25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98">
        <f>'Resultater - Vestdanmark'!H354+'Resultater - Østdanmark'!H354</f>
        <v>18493.012942248984</v>
      </c>
      <c r="I354" s="299">
        <f>'Resultater - Vestdanmark'!I354+'Resultater - Østdanmark'!I354</f>
        <v>0</v>
      </c>
      <c r="J354" s="300">
        <f>'Resultater - Vestdanmark'!J354+'Resultater - Østdanmark'!J354</f>
        <v>0</v>
      </c>
    </row>
    <row r="355" spans="1:10" hidden="1" x14ac:dyDescent="0.25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98">
        <f>'Resultater - Vestdanmark'!H355+'Resultater - Østdanmark'!H355</f>
        <v>-23776.730925748692</v>
      </c>
      <c r="I355" s="299">
        <f>'Resultater - Vestdanmark'!I355+'Resultater - Østdanmark'!I355</f>
        <v>0</v>
      </c>
      <c r="J355" s="300">
        <f>'Resultater - Vestdanmark'!J355+'Resultater - Østdanmark'!J355</f>
        <v>0</v>
      </c>
    </row>
    <row r="356" spans="1:10" hidden="1" x14ac:dyDescent="0.25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98">
        <f>'Resultater - Vestdanmark'!H356+'Resultater - Østdanmark'!H356</f>
        <v>7529.7457544847666</v>
      </c>
      <c r="I356" s="299">
        <f>'Resultater - Vestdanmark'!I356+'Resultater - Østdanmark'!I356</f>
        <v>0</v>
      </c>
      <c r="J356" s="300">
        <f>'Resultater - Vestdanmark'!J356+'Resultater - Østdanmark'!J356</f>
        <v>0</v>
      </c>
    </row>
    <row r="357" spans="1:10" hidden="1" x14ac:dyDescent="0.25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98">
        <f>'Resultater - Vestdanmark'!H357+'Resultater - Østdanmark'!H357</f>
        <v>58561.6295189554</v>
      </c>
      <c r="I357" s="299">
        <f>'Resultater - Vestdanmark'!I357+'Resultater - Østdanmark'!I357</f>
        <v>213834.1404855877</v>
      </c>
      <c r="J357" s="300">
        <f>'Resultater - Vestdanmark'!J357+'Resultater - Østdanmark'!J357</f>
        <v>176398.87119798979</v>
      </c>
    </row>
    <row r="358" spans="1:10" hidden="1" x14ac:dyDescent="0.25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98">
        <f>'Resultater - Vestdanmark'!H358+'Resultater - Østdanmark'!H358</f>
        <v>-128835.58494170189</v>
      </c>
      <c r="I358" s="299">
        <f>'Resultater - Vestdanmark'!I358+'Resultater - Østdanmark'!I358</f>
        <v>-438838.7211457956</v>
      </c>
      <c r="J358" s="300">
        <f>'Resultater - Vestdanmark'!J358+'Resultater - Østdanmark'!J358</f>
        <v>-362012.60880184476</v>
      </c>
    </row>
    <row r="359" spans="1:10" hidden="1" x14ac:dyDescent="0.25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98">
        <f>'Resultater - Vestdanmark'!H359+'Resultater - Østdanmark'!H359</f>
        <v>4039.0970279361727</v>
      </c>
      <c r="I359" s="299">
        <f>'Resultater - Vestdanmark'!I359+'Resultater - Østdanmark'!I359</f>
        <v>13757.939432070387</v>
      </c>
      <c r="J359" s="300">
        <f>'Resultater - Vestdanmark'!J359+'Resultater - Østdanmark'!J359</f>
        <v>11349.380320263217</v>
      </c>
    </row>
    <row r="360" spans="1:10" hidden="1" x14ac:dyDescent="0.25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98">
        <f>'Resultater - Vestdanmark'!H360+'Resultater - Østdanmark'!H360</f>
        <v>2014.0600571988041</v>
      </c>
      <c r="I360" s="299">
        <f>'Resultater - Vestdanmark'!I360+'Resultater - Østdanmark'!I360</f>
        <v>0</v>
      </c>
      <c r="J360" s="300">
        <f>'Resultater - Vestdanmark'!J360+'Resultater - Østdanmark'!J360</f>
        <v>0</v>
      </c>
    </row>
    <row r="361" spans="1:10" hidden="1" x14ac:dyDescent="0.25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98">
        <f>'Resultater - Vestdanmark'!H361+'Resultater - Østdanmark'!H361</f>
        <v>-3356.766761998007</v>
      </c>
      <c r="I361" s="299">
        <f>'Resultater - Vestdanmark'!I361+'Resultater - Østdanmark'!I361</f>
        <v>0</v>
      </c>
      <c r="J361" s="300">
        <f>'Resultater - Vestdanmark'!J361+'Resultater - Østdanmark'!J361</f>
        <v>0</v>
      </c>
    </row>
    <row r="362" spans="1:10" hidden="1" x14ac:dyDescent="0.25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98">
        <f>'Resultater - Vestdanmark'!H362+'Resultater - Østdanmark'!H362</f>
        <v>627.87405753257133</v>
      </c>
      <c r="I362" s="299">
        <f>'Resultater - Vestdanmark'!I362+'Resultater - Østdanmark'!I362</f>
        <v>0</v>
      </c>
      <c r="J362" s="300">
        <f>'Resultater - Vestdanmark'!J362+'Resultater - Østdanmark'!J362</f>
        <v>0</v>
      </c>
    </row>
    <row r="363" spans="1:10" hidden="1" x14ac:dyDescent="0.25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98">
        <f>'Resultater - Vestdanmark'!H363+'Resultater - Østdanmark'!H363</f>
        <v>1347.7904439254141</v>
      </c>
      <c r="I363" s="299">
        <f>'Resultater - Vestdanmark'!I363+'Resultater - Østdanmark'!I363</f>
        <v>0</v>
      </c>
      <c r="J363" s="300">
        <f>'Resultater - Vestdanmark'!J363+'Resultater - Østdanmark'!J363</f>
        <v>0</v>
      </c>
    </row>
    <row r="364" spans="1:10" hidden="1" x14ac:dyDescent="0.25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98">
        <f>'Resultater - Vestdanmark'!H364+'Resultater - Østdanmark'!H364</f>
        <v>-1732.8734279041039</v>
      </c>
      <c r="I364" s="299">
        <f>'Resultater - Vestdanmark'!I364+'Resultater - Østdanmark'!I364</f>
        <v>0</v>
      </c>
      <c r="J364" s="300">
        <f>'Resultater - Vestdanmark'!J364+'Resultater - Østdanmark'!J364</f>
        <v>0</v>
      </c>
    </row>
    <row r="365" spans="1:10" hidden="1" x14ac:dyDescent="0.25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98">
        <f>'Resultater - Vestdanmark'!H365+'Resultater - Østdanmark'!H365</f>
        <v>962.76469434034368</v>
      </c>
      <c r="I365" s="299">
        <f>'Resultater - Vestdanmark'!I365+'Resultater - Østdanmark'!I365</f>
        <v>0</v>
      </c>
      <c r="J365" s="300">
        <f>'Resultater - Vestdanmark'!J365+'Resultater - Østdanmark'!J365</f>
        <v>0</v>
      </c>
    </row>
    <row r="366" spans="1:10" hidden="1" x14ac:dyDescent="0.25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98">
        <f>'Resultater - Vestdanmark'!H366+'Resultater - Østdanmark'!H366</f>
        <v>151119.96541178104</v>
      </c>
      <c r="I366" s="299">
        <f>'Resultater - Vestdanmark'!I366+'Resultater - Østdanmark'!I366</f>
        <v>71125.187651140135</v>
      </c>
      <c r="J366" s="300">
        <f>'Resultater - Vestdanmark'!J366+'Resultater - Østdanmark'!J366</f>
        <v>0</v>
      </c>
    </row>
    <row r="367" spans="1:10" hidden="1" x14ac:dyDescent="0.25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98">
        <f>'Resultater - Vestdanmark'!H367+'Resultater - Østdanmark'!H367</f>
        <v>-743510.2298259628</v>
      </c>
      <c r="I367" s="299">
        <f>'Resultater - Vestdanmark'!I367+'Resultater - Østdanmark'!I367</f>
        <v>-326432.76421978493</v>
      </c>
      <c r="J367" s="300">
        <f>'Resultater - Vestdanmark'!J367+'Resultater - Østdanmark'!J367</f>
        <v>0</v>
      </c>
    </row>
    <row r="368" spans="1:10" hidden="1" x14ac:dyDescent="0.25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98">
        <f>'Resultater - Vestdanmark'!H368+'Resultater - Østdanmark'!H368</f>
        <v>12179.28225780596</v>
      </c>
      <c r="I368" s="299">
        <f>'Resultater - Vestdanmark'!I368+'Resultater - Østdanmark'!I368</f>
        <v>5347.225383246172</v>
      </c>
      <c r="J368" s="300">
        <f>'Resultater - Vestdanmark'!J368+'Resultater - Østdanmark'!J368</f>
        <v>0</v>
      </c>
    </row>
    <row r="369" spans="1:10" hidden="1" x14ac:dyDescent="0.25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98">
        <f>'Resultater - Vestdanmark'!H369+'Resultater - Østdanmark'!H369</f>
        <v>22625.724932981873</v>
      </c>
      <c r="I369" s="299">
        <f>'Resultater - Vestdanmark'!I369+'Resultater - Østdanmark'!I369</f>
        <v>0</v>
      </c>
      <c r="J369" s="300">
        <f>'Resultater - Vestdanmark'!J369+'Resultater - Østdanmark'!J369</f>
        <v>0</v>
      </c>
    </row>
    <row r="370" spans="1:10" hidden="1" x14ac:dyDescent="0.25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98">
        <f>'Resultater - Vestdanmark'!H370+'Resultater - Østdanmark'!H370</f>
        <v>-92765.472225225691</v>
      </c>
      <c r="I370" s="299">
        <f>'Resultater - Vestdanmark'!I370+'Resultater - Østdanmark'!I370</f>
        <v>0</v>
      </c>
      <c r="J370" s="300">
        <f>'Resultater - Vestdanmark'!J370+'Resultater - Østdanmark'!J370</f>
        <v>0</v>
      </c>
    </row>
    <row r="371" spans="1:10" hidden="1" x14ac:dyDescent="0.25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98">
        <f>'Resultater - Vestdanmark'!H371+'Resultater - Østdanmark'!H371</f>
        <v>8241.9759393401473</v>
      </c>
      <c r="I371" s="299">
        <f>'Resultater - Vestdanmark'!I371+'Resultater - Østdanmark'!I371</f>
        <v>0</v>
      </c>
      <c r="J371" s="300">
        <f>'Resultater - Vestdanmark'!J371+'Resultater - Østdanmark'!J371</f>
        <v>0</v>
      </c>
    </row>
    <row r="372" spans="1:10" hidden="1" x14ac:dyDescent="0.25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98">
        <f>'Resultater - Vestdanmark'!H372+'Resultater - Østdanmark'!H372</f>
        <v>21786.130098302907</v>
      </c>
      <c r="I372" s="299">
        <f>'Resultater - Vestdanmark'!I372+'Resultater - Østdanmark'!I372</f>
        <v>0</v>
      </c>
      <c r="J372" s="300">
        <f>'Resultater - Vestdanmark'!J372+'Resultater - Østdanmark'!J372</f>
        <v>0</v>
      </c>
    </row>
    <row r="373" spans="1:10" hidden="1" x14ac:dyDescent="0.25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98">
        <f>'Resultater - Vestdanmark'!H373+'Resultater - Østdanmark'!H373</f>
        <v>-76562.685774035956</v>
      </c>
      <c r="I373" s="299">
        <f>'Resultater - Vestdanmark'!I373+'Resultater - Østdanmark'!I373</f>
        <v>0</v>
      </c>
      <c r="J373" s="300">
        <f>'Resultater - Vestdanmark'!J373+'Resultater - Østdanmark'!J373</f>
        <v>0</v>
      </c>
    </row>
    <row r="374" spans="1:10" hidden="1" x14ac:dyDescent="0.25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98">
        <f>'Resultater - Vestdanmark'!H374+'Resultater - Østdanmark'!H374</f>
        <v>18184.718915711666</v>
      </c>
      <c r="I374" s="299">
        <f>'Resultater - Vestdanmark'!I374+'Resultater - Østdanmark'!I374</f>
        <v>0</v>
      </c>
      <c r="J374" s="300">
        <f>'Resultater - Vestdanmark'!J374+'Resultater - Østdanmark'!J374</f>
        <v>0</v>
      </c>
    </row>
    <row r="375" spans="1:10" hidden="1" x14ac:dyDescent="0.25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98">
        <f>'Resultater - Vestdanmark'!H375+'Resultater - Østdanmark'!H375</f>
        <v>11013.783741156445</v>
      </c>
      <c r="I375" s="299">
        <f>'Resultater - Vestdanmark'!I375+'Resultater - Østdanmark'!I375</f>
        <v>40541.356961149868</v>
      </c>
      <c r="J375" s="300">
        <f>'Resultater - Vestdanmark'!J375+'Resultater - Østdanmark'!J375</f>
        <v>35122.158464159649</v>
      </c>
    </row>
    <row r="376" spans="1:10" hidden="1" x14ac:dyDescent="0.25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98">
        <f>'Resultater - Vestdanmark'!H376+'Resultater - Østdanmark'!H376</f>
        <v>-54187.816006489709</v>
      </c>
      <c r="I376" s="299">
        <f>'Resultater - Vestdanmark'!I376+'Resultater - Østdanmark'!I376</f>
        <v>-186066.67560527741</v>
      </c>
      <c r="J376" s="300">
        <f>'Resultater - Vestdanmark'!J376+'Resultater - Østdanmark'!J376</f>
        <v>-161194.98101088195</v>
      </c>
    </row>
    <row r="377" spans="1:10" hidden="1" x14ac:dyDescent="0.25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98">
        <f>'Resultater - Vestdanmark'!H377+'Resultater - Østdanmark'!H377</f>
        <v>1557.2614723727386</v>
      </c>
      <c r="I377" s="299">
        <f>'Resultater - Vestdanmark'!I377+'Resultater - Østdanmark'!I377</f>
        <v>5347.225383246172</v>
      </c>
      <c r="J377" s="300">
        <f>'Resultater - Vestdanmark'!J377+'Resultater - Østdanmark'!J377</f>
        <v>4632.4571087721706</v>
      </c>
    </row>
    <row r="378" spans="1:10" hidden="1" x14ac:dyDescent="0.25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98">
        <f>'Resultater - Vestdanmark'!H378+'Resultater - Østdanmark'!H378</f>
        <v>1648.986887468722</v>
      </c>
      <c r="I378" s="299">
        <f>'Resultater - Vestdanmark'!I378+'Resultater - Østdanmark'!I378</f>
        <v>0</v>
      </c>
      <c r="J378" s="300">
        <f>'Resultater - Vestdanmark'!J378+'Resultater - Østdanmark'!J378</f>
        <v>0</v>
      </c>
    </row>
    <row r="379" spans="1:10" hidden="1" x14ac:dyDescent="0.25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98">
        <f>'Resultater - Vestdanmark'!H379+'Resultater - Østdanmark'!H379</f>
        <v>-6760.8462386217598</v>
      </c>
      <c r="I379" s="299">
        <f>'Resultater - Vestdanmark'!I379+'Resultater - Østdanmark'!I379</f>
        <v>0</v>
      </c>
      <c r="J379" s="300">
        <f>'Resultater - Vestdanmark'!J379+'Resultater - Østdanmark'!J379</f>
        <v>0</v>
      </c>
    </row>
    <row r="380" spans="1:10" hidden="1" x14ac:dyDescent="0.25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98">
        <f>'Resultater - Vestdanmark'!H380+'Resultater - Østdanmark'!H380</f>
        <v>1053.8315242945746</v>
      </c>
      <c r="I380" s="299">
        <f>'Resultater - Vestdanmark'!I380+'Resultater - Østdanmark'!I380</f>
        <v>0</v>
      </c>
      <c r="J380" s="300">
        <f>'Resultater - Vestdanmark'!J380+'Resultater - Østdanmark'!J380</f>
        <v>0</v>
      </c>
    </row>
    <row r="381" spans="1:10" hidden="1" x14ac:dyDescent="0.25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98">
        <f>'Resultater - Vestdanmark'!H381+'Resultater - Østdanmark'!H381</f>
        <v>1587.7963233089895</v>
      </c>
      <c r="I381" s="299">
        <f>'Resultater - Vestdanmark'!I381+'Resultater - Østdanmark'!I381</f>
        <v>0</v>
      </c>
      <c r="J381" s="300">
        <f>'Resultater - Vestdanmark'!J381+'Resultater - Østdanmark'!J381</f>
        <v>0</v>
      </c>
    </row>
    <row r="382" spans="1:10" hidden="1" x14ac:dyDescent="0.25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98">
        <f>'Resultater - Vestdanmark'!H382+'Resultater - Østdanmark'!H382</f>
        <v>-5579.9699362001647</v>
      </c>
      <c r="I382" s="299">
        <f>'Resultater - Vestdanmark'!I382+'Resultater - Østdanmark'!I382</f>
        <v>0</v>
      </c>
      <c r="J382" s="300">
        <f>'Resultater - Vestdanmark'!J382+'Resultater - Østdanmark'!J382</f>
        <v>0</v>
      </c>
    </row>
    <row r="383" spans="1:10" hidden="1" x14ac:dyDescent="0.25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98">
        <f>'Resultater - Vestdanmark'!H383+'Resultater - Østdanmark'!H383</f>
        <v>2325.1256973879313</v>
      </c>
      <c r="I383" s="299">
        <f>'Resultater - Vestdanmark'!I383+'Resultater - Østdanmark'!I383</f>
        <v>0</v>
      </c>
      <c r="J383" s="300">
        <f>'Resultater - Vestdanmark'!J383+'Resultater - Østdanmark'!J383</f>
        <v>0</v>
      </c>
    </row>
    <row r="384" spans="1:10" hidden="1" x14ac:dyDescent="0.25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98">
        <f>'Resultater - Vestdanmark'!H384+'Resultater - Østdanmark'!H384</f>
        <v>2073397.5877193159</v>
      </c>
      <c r="I384" s="299">
        <f>'Resultater - Vestdanmark'!I384+'Resultater - Østdanmark'!I384</f>
        <v>1485937.5198457481</v>
      </c>
      <c r="J384" s="300">
        <f>'Resultater - Vestdanmark'!J384+'Resultater - Østdanmark'!J384</f>
        <v>0</v>
      </c>
    </row>
    <row r="385" spans="1:10" hidden="1" x14ac:dyDescent="0.25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98">
        <f>'Resultater - Vestdanmark'!H385+'Resultater - Østdanmark'!H385</f>
        <v>-7517757.7509764899</v>
      </c>
      <c r="I385" s="299">
        <f>'Resultater - Vestdanmark'!I385+'Resultater - Østdanmark'!I385</f>
        <v>-5025872.9011050211</v>
      </c>
      <c r="J385" s="300">
        <f>'Resultater - Vestdanmark'!J385+'Resultater - Østdanmark'!J385</f>
        <v>0</v>
      </c>
    </row>
    <row r="386" spans="1:10" hidden="1" x14ac:dyDescent="0.25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98">
        <f>'Resultater - Vestdanmark'!H386+'Resultater - Østdanmark'!H386</f>
        <v>295552.28134429298</v>
      </c>
      <c r="I386" s="299">
        <f>'Resultater - Vestdanmark'!I386+'Resultater - Østdanmark'!I386</f>
        <v>197586.60106799903</v>
      </c>
      <c r="J386" s="300">
        <f>'Resultater - Vestdanmark'!J386+'Resultater - Østdanmark'!J386</f>
        <v>0</v>
      </c>
    </row>
    <row r="387" spans="1:10" hidden="1" x14ac:dyDescent="0.25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98">
        <f>'Resultater - Vestdanmark'!H387+'Resultater - Østdanmark'!H387</f>
        <v>362721.58612359717</v>
      </c>
      <c r="I387" s="299">
        <f>'Resultater - Vestdanmark'!I387+'Resultater - Østdanmark'!I387</f>
        <v>0</v>
      </c>
      <c r="J387" s="300">
        <f>'Resultater - Vestdanmark'!J387+'Resultater - Østdanmark'!J387</f>
        <v>0</v>
      </c>
    </row>
    <row r="388" spans="1:10" hidden="1" x14ac:dyDescent="0.25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98">
        <f>'Resultater - Vestdanmark'!H388+'Resultater - Østdanmark'!H388</f>
        <v>-1095968.0508931505</v>
      </c>
      <c r="I388" s="299">
        <f>'Resultater - Vestdanmark'!I388+'Resultater - Østdanmark'!I388</f>
        <v>0</v>
      </c>
      <c r="J388" s="300">
        <f>'Resultater - Vestdanmark'!J388+'Resultater - Østdanmark'!J388</f>
        <v>0</v>
      </c>
    </row>
    <row r="389" spans="1:10" hidden="1" x14ac:dyDescent="0.25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98">
        <f>'Resultater - Vestdanmark'!H389+'Resultater - Østdanmark'!H389</f>
        <v>233697.52790303045</v>
      </c>
      <c r="I389" s="299">
        <f>'Resultater - Vestdanmark'!I389+'Resultater - Østdanmark'!I389</f>
        <v>0</v>
      </c>
      <c r="J389" s="300">
        <f>'Resultater - Vestdanmark'!J389+'Resultater - Østdanmark'!J389</f>
        <v>0</v>
      </c>
    </row>
    <row r="390" spans="1:10" hidden="1" x14ac:dyDescent="0.25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98">
        <f>'Resultater - Vestdanmark'!H390+'Resultater - Østdanmark'!H390</f>
        <v>457088.33107391914</v>
      </c>
      <c r="I390" s="299">
        <f>'Resultater - Vestdanmark'!I390+'Resultater - Østdanmark'!I390</f>
        <v>0</v>
      </c>
      <c r="J390" s="300">
        <f>'Resultater - Vestdanmark'!J390+'Resultater - Østdanmark'!J390</f>
        <v>0</v>
      </c>
    </row>
    <row r="391" spans="1:10" hidden="1" x14ac:dyDescent="0.25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98">
        <f>'Resultater - Vestdanmark'!H391+'Resultater - Østdanmark'!H391</f>
        <v>-1183798.6405105125</v>
      </c>
      <c r="I391" s="299">
        <f>'Resultater - Vestdanmark'!I391+'Resultater - Østdanmark'!I391</f>
        <v>0</v>
      </c>
      <c r="J391" s="300">
        <f>'Resultater - Vestdanmark'!J391+'Resultater - Østdanmark'!J391</f>
        <v>0</v>
      </c>
    </row>
    <row r="392" spans="1:10" hidden="1" x14ac:dyDescent="0.25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98">
        <f>'Resultater - Vestdanmark'!H392+'Resultater - Østdanmark'!H392</f>
        <v>674805.3408895086</v>
      </c>
      <c r="I392" s="299">
        <f>'Resultater - Vestdanmark'!I392+'Resultater - Østdanmark'!I392</f>
        <v>0</v>
      </c>
      <c r="J392" s="300">
        <f>'Resultater - Vestdanmark'!J392+'Resultater - Østdanmark'!J392</f>
        <v>0</v>
      </c>
    </row>
    <row r="393" spans="1:10" hidden="1" x14ac:dyDescent="0.25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98">
        <f>'Resultater - Vestdanmark'!H393+'Resultater - Østdanmark'!H393</f>
        <v>265107.75527814421</v>
      </c>
      <c r="I393" s="299">
        <f>'Resultater - Vestdanmark'!I393+'Resultater - Østdanmark'!I393</f>
        <v>1485937.5198457481</v>
      </c>
      <c r="J393" s="300">
        <f>'Resultater - Vestdanmark'!J393+'Resultater - Østdanmark'!J393</f>
        <v>851955.23953176371</v>
      </c>
    </row>
    <row r="394" spans="1:10" hidden="1" x14ac:dyDescent="0.25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98">
        <f>'Resultater - Vestdanmark'!H394+'Resultater - Østdanmark'!H394</f>
        <v>-961231.89005853585</v>
      </c>
      <c r="I394" s="299">
        <f>'Resultater - Vestdanmark'!I394+'Resultater - Østdanmark'!I394</f>
        <v>-5025872.9011050211</v>
      </c>
      <c r="J394" s="300">
        <f>'Resultater - Vestdanmark'!J394+'Resultater - Østdanmark'!J394</f>
        <v>-2881560.4250719873</v>
      </c>
    </row>
    <row r="395" spans="1:10" hidden="1" x14ac:dyDescent="0.25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98">
        <f>'Resultater - Vestdanmark'!H395+'Resultater - Østdanmark'!H395</f>
        <v>37789.762242709345</v>
      </c>
      <c r="I395" s="299">
        <f>'Resultater - Vestdanmark'!I395+'Resultater - Østdanmark'!I395</f>
        <v>197586.60106799903</v>
      </c>
      <c r="J395" s="300">
        <f>'Resultater - Vestdanmark'!J395+'Resultater - Østdanmark'!J395</f>
        <v>113285.34194266031</v>
      </c>
    </row>
    <row r="396" spans="1:10" hidden="1" x14ac:dyDescent="0.25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98">
        <f>'Resultater - Vestdanmark'!H396+'Resultater - Østdanmark'!H396</f>
        <v>46378.13126518044</v>
      </c>
      <c r="I396" s="299">
        <f>'Resultater - Vestdanmark'!I396+'Resultater - Østdanmark'!I396</f>
        <v>0</v>
      </c>
      <c r="J396" s="300">
        <f>'Resultater - Vestdanmark'!J396+'Resultater - Østdanmark'!J396</f>
        <v>0</v>
      </c>
    </row>
    <row r="397" spans="1:10" hidden="1" x14ac:dyDescent="0.25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98">
        <f>'Resultater - Vestdanmark'!H397+'Resultater - Østdanmark'!H397</f>
        <v>-140132.13459384954</v>
      </c>
      <c r="I397" s="299">
        <f>'Resultater - Vestdanmark'!I397+'Resultater - Østdanmark'!I397</f>
        <v>0</v>
      </c>
      <c r="J397" s="300">
        <f>'Resultater - Vestdanmark'!J397+'Resultater - Østdanmark'!J397</f>
        <v>0</v>
      </c>
    </row>
    <row r="398" spans="1:10" hidden="1" x14ac:dyDescent="0.25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98">
        <f>'Resultater - Vestdanmark'!H398+'Resultater - Østdanmark'!H398</f>
        <v>29880.919802059198</v>
      </c>
      <c r="I398" s="299">
        <f>'Resultater - Vestdanmark'!I398+'Resultater - Østdanmark'!I398</f>
        <v>0</v>
      </c>
      <c r="J398" s="300">
        <f>'Resultater - Vestdanmark'!J398+'Resultater - Østdanmark'!J398</f>
        <v>0</v>
      </c>
    </row>
    <row r="399" spans="1:10" hidden="1" x14ac:dyDescent="0.25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98">
        <f>'Resultater - Vestdanmark'!H399+'Resultater - Østdanmark'!H399</f>
        <v>58444.006172560563</v>
      </c>
      <c r="I399" s="299">
        <f>'Resultater - Vestdanmark'!I399+'Resultater - Østdanmark'!I399</f>
        <v>0</v>
      </c>
      <c r="J399" s="300">
        <f>'Resultater - Vestdanmark'!J399+'Resultater - Østdanmark'!J399</f>
        <v>0</v>
      </c>
    </row>
    <row r="400" spans="1:10" hidden="1" x14ac:dyDescent="0.25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98">
        <f>'Resultater - Vestdanmark'!H400+'Resultater - Østdanmark'!H400</f>
        <v>-151362.28678276329</v>
      </c>
      <c r="I400" s="299">
        <f>'Resultater - Vestdanmark'!I400+'Resultater - Østdanmark'!I400</f>
        <v>0</v>
      </c>
      <c r="J400" s="300">
        <f>'Resultater - Vestdanmark'!J400+'Resultater - Østdanmark'!J400</f>
        <v>0</v>
      </c>
    </row>
    <row r="401" spans="1:10" hidden="1" x14ac:dyDescent="0.25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98">
        <f>'Resultater - Vestdanmark'!H401+'Resultater - Østdanmark'!H401</f>
        <v>86281.632732920101</v>
      </c>
      <c r="I401" s="299">
        <f>'Resultater - Vestdanmark'!I401+'Resultater - Østdanmark'!I401</f>
        <v>0</v>
      </c>
      <c r="J401" s="300">
        <f>'Resultater - Vestdanmark'!J401+'Resultater - Østdanmark'!J401</f>
        <v>0</v>
      </c>
    </row>
    <row r="402" spans="1:10" x14ac:dyDescent="0.25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98">
        <f>'Resultater - Vestdanmark'!H402+'Resultater - Østdanmark'!H402</f>
        <v>827693.20492220437</v>
      </c>
      <c r="I402" s="299">
        <f>'Resultater - Vestdanmark'!I402+'Resultater - Østdanmark'!I402</f>
        <v>783291.25515859458</v>
      </c>
      <c r="J402" s="300">
        <f>'Resultater - Vestdanmark'!J402+'Resultater - Østdanmark'!J402</f>
        <v>754480.51999100088</v>
      </c>
    </row>
    <row r="403" spans="1:10" x14ac:dyDescent="0.25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98">
        <f>'Resultater - Vestdanmark'!H403+'Resultater - Østdanmark'!H403</f>
        <v>896667.6386657214</v>
      </c>
      <c r="I403" s="299">
        <f>'Resultater - Vestdanmark'!I403+'Resultater - Østdanmark'!I403</f>
        <v>848565.52642181097</v>
      </c>
      <c r="J403" s="300">
        <f>'Resultater - Vestdanmark'!J403+'Resultater - Østdanmark'!J403</f>
        <v>817353.89665691776</v>
      </c>
    </row>
    <row r="404" spans="1:10" x14ac:dyDescent="0.25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98">
        <f>'Resultater - Vestdanmark'!H404+'Resultater - Østdanmark'!H404</f>
        <v>3383628.2</v>
      </c>
      <c r="I404" s="299">
        <f>'Resultater - Vestdanmark'!I404+'Resultater - Østdanmark'!I404</f>
        <v>1391077.6021527264</v>
      </c>
      <c r="J404" s="300">
        <f>'Resultater - Vestdanmark'!J404+'Resultater - Østdanmark'!J404</f>
        <v>200432.2033501433</v>
      </c>
    </row>
    <row r="405" spans="1:10" x14ac:dyDescent="0.25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98">
        <f>'Resultater - Vestdanmark'!H405+'Resultater - Østdanmark'!H405</f>
        <v>131725</v>
      </c>
      <c r="I405" s="299">
        <f>'Resultater - Vestdanmark'!I405+'Resultater - Østdanmark'!I405</f>
        <v>54154.796659859938</v>
      </c>
      <c r="J405" s="300">
        <f>'Resultater - Vestdanmark'!J405+'Resultater - Østdanmark'!J405</f>
        <v>7802.8466562306203</v>
      </c>
    </row>
    <row r="406" spans="1:10" s="173" customFormat="1" x14ac:dyDescent="0.25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98">
        <f>'Resultater - Vestdanmark'!H406+'Resultater - Østdanmark'!H406</f>
        <v>17308.665000000001</v>
      </c>
      <c r="I406" s="299">
        <f>'Resultater - Vestdanmark'!I406+'Resultater - Østdanmark'!I406</f>
        <v>7115.9402811055961</v>
      </c>
      <c r="J406" s="300">
        <f>'Resultater - Vestdanmark'!J406+'Resultater - Østdanmark'!J406</f>
        <v>1025.2940506287034</v>
      </c>
    </row>
    <row r="407" spans="1:10" x14ac:dyDescent="0.25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98">
        <f>'Resultater - Vestdanmark'!H407+'Resultater - Østdanmark'!H407</f>
        <v>1753646.8000000003</v>
      </c>
      <c r="I407" s="299">
        <f>'Resultater - Vestdanmark'!I407+'Resultater - Østdanmark'!I407</f>
        <v>720959.46758181124</v>
      </c>
      <c r="J407" s="300">
        <f>'Resultater - Vestdanmark'!J407+'Resultater - Østdanmark'!J407</f>
        <v>103878.81624285087</v>
      </c>
    </row>
    <row r="408" spans="1:10" x14ac:dyDescent="0.25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98">
        <f>'Resultater - Vestdanmark'!H408+'Resultater - Østdanmark'!H408</f>
        <v>1601127.6966659406</v>
      </c>
      <c r="I408" s="299">
        <f>'Resultater - Vestdanmark'!I408+'Resultater - Østdanmark'!I408</f>
        <v>591065.0991868776</v>
      </c>
      <c r="J408" s="300">
        <f>'Resultater - Vestdanmark'!J408+'Resultater - Østdanmark'!J408</f>
        <v>64027.685668013553</v>
      </c>
    </row>
    <row r="409" spans="1:10" x14ac:dyDescent="0.25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98">
        <f>'Resultater - Vestdanmark'!H409+'Resultater - Østdanmark'!H409</f>
        <v>22728.326432774025</v>
      </c>
      <c r="I409" s="299">
        <f>'Resultater - Vestdanmark'!I409+'Resultater - Østdanmark'!I409</f>
        <v>11323.879223055006</v>
      </c>
      <c r="J409" s="300">
        <f>'Resultater - Vestdanmark'!J409+'Resultater - Østdanmark'!J409</f>
        <v>1226.669922541101</v>
      </c>
    </row>
    <row r="410" spans="1:10" x14ac:dyDescent="0.25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98">
        <f>'Resultater - Vestdanmark'!H410+'Resultater - Østdanmark'!H410</f>
        <v>142794.72651993899</v>
      </c>
      <c r="I410" s="299">
        <f>'Resultater - Vestdanmark'!I410+'Resultater - Østdanmark'!I410</f>
        <v>52713.459001190604</v>
      </c>
      <c r="J410" s="300">
        <f>'Resultater - Vestdanmark'!J410+'Resultater - Østdanmark'!J410</f>
        <v>5710.2352821120239</v>
      </c>
    </row>
    <row r="411" spans="1:10" x14ac:dyDescent="0.25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98">
        <f>'Resultater - Vestdanmark'!H411+'Resultater - Østdanmark'!H411</f>
        <v>140895.61996077577</v>
      </c>
      <c r="I411" s="299">
        <f>'Resultater - Vestdanmark'!I411+'Resultater - Østdanmark'!I411</f>
        <v>52012.393365329292</v>
      </c>
      <c r="J411" s="300">
        <f>'Resultater - Vestdanmark'!J411+'Resultater - Østdanmark'!J411</f>
        <v>5634.2916843131934</v>
      </c>
    </row>
    <row r="412" spans="1:10" x14ac:dyDescent="0.25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98">
        <f>'Resultater - Vestdanmark'!H412+'Resultater - Østdanmark'!H412</f>
        <v>115671.91919191919</v>
      </c>
      <c r="I412" s="299">
        <f>'Resultater - Vestdanmark'!I412+'Resultater - Østdanmark'!I412</f>
        <v>40339.555420111239</v>
      </c>
      <c r="J412" s="300">
        <f>'Resultater - Vestdanmark'!J412+'Resultater - Østdanmark'!J412</f>
        <v>3542.5928618621338</v>
      </c>
    </row>
    <row r="413" spans="1:10" x14ac:dyDescent="0.25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98">
        <f>'Resultater - Vestdanmark'!H413+'Resultater - Østdanmark'!H413</f>
        <v>50006.545454545456</v>
      </c>
      <c r="I413" s="299">
        <f>'Resultater - Vestdanmark'!I413+'Resultater - Østdanmark'!I413</f>
        <v>19565.011279527214</v>
      </c>
      <c r="J413" s="300">
        <f>'Resultater - Vestdanmark'!J413+'Resultater - Østdanmark'!J413</f>
        <v>1718.1862462110921</v>
      </c>
    </row>
    <row r="414" spans="1:10" x14ac:dyDescent="0.25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98">
        <f>'Resultater - Vestdanmark'!H414+'Resultater - Østdanmark'!H414</f>
        <v>7405.2525252525256</v>
      </c>
      <c r="I414" s="299">
        <f>'Resultater - Vestdanmark'!I414+'Resultater - Østdanmark'!I414</f>
        <v>2582.5161087429406</v>
      </c>
      <c r="J414" s="300">
        <f>'Resultater - Vestdanmark'!J414+'Resultater - Østdanmark'!J414</f>
        <v>226.79484285827277</v>
      </c>
    </row>
    <row r="415" spans="1:10" x14ac:dyDescent="0.25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98">
        <f>'Resultater - Vestdanmark'!H415+'Resultater - Østdanmark'!H415</f>
        <v>76114.747474747448</v>
      </c>
      <c r="I415" s="299">
        <f>'Resultater - Vestdanmark'!I415+'Resultater - Østdanmark'!I415</f>
        <v>26544.342788598318</v>
      </c>
      <c r="J415" s="300">
        <f>'Resultater - Vestdanmark'!J415+'Resultater - Østdanmark'!J415</f>
        <v>2331.1064860875626</v>
      </c>
    </row>
    <row r="416" spans="1:10" x14ac:dyDescent="0.25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98">
        <f>'Resultater - Vestdanmark'!H416+'Resultater - Østdanmark'!H416</f>
        <v>201545.30567673693</v>
      </c>
      <c r="I416" s="299">
        <f>'Resultater - Vestdanmark'!I416+'Resultater - Østdanmark'!I416</f>
        <v>59020.714932379662</v>
      </c>
      <c r="J416" s="300">
        <f>'Resultater - Vestdanmark'!J416+'Resultater - Østdanmark'!J416</f>
        <v>1005.3066360172252</v>
      </c>
    </row>
    <row r="417" spans="1:10" ht="15.75" thickBot="1" x14ac:dyDescent="0.3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301">
        <f>'Resultater - Vestdanmark'!H417+'Resultater - Østdanmark'!H417</f>
        <v>550.81037157810442</v>
      </c>
      <c r="I417" s="302">
        <f>'Resultater - Vestdanmark'!I417+'Resultater - Østdanmark'!I417</f>
        <v>217.69693389912516</v>
      </c>
      <c r="J417" s="303">
        <f>'Resultater - Vestdanmark'!J417+'Resultater - Østdanmark'!J417</f>
        <v>3.7080569515319124</v>
      </c>
    </row>
    <row r="418" spans="1:10" x14ac:dyDescent="0.25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95">
        <f>'Resultater - Vestdanmark'!H418+'Resultater - Østdanmark'!H418</f>
        <v>5940049093.1121235</v>
      </c>
      <c r="I418" s="296">
        <f>'Resultater - Vestdanmark'!I418+'Resultater - Østdanmark'!I418</f>
        <v>2970024546.5560613</v>
      </c>
      <c r="J418" s="297">
        <f>'Resultater - Vestdanmark'!J418+'Resultater - Østdanmark'!J418</f>
        <v>594004909.31121242</v>
      </c>
    </row>
    <row r="419" spans="1:10" x14ac:dyDescent="0.25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98">
        <f>'Resultater - Vestdanmark'!H419+'Resultater - Østdanmark'!H419</f>
        <v>164945487.85478973</v>
      </c>
      <c r="I419" s="299">
        <f>'Resultater - Vestdanmark'!I419+'Resultater - Østdanmark'!I419</f>
        <v>82472743.927394867</v>
      </c>
      <c r="J419" s="300">
        <f>'Resultater - Vestdanmark'!J419+'Resultater - Østdanmark'!J419</f>
        <v>16494548.785478977</v>
      </c>
    </row>
    <row r="420" spans="1:10" x14ac:dyDescent="0.25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98">
        <f>'Resultater - Vestdanmark'!H420+'Resultater - Østdanmark'!H420</f>
        <v>0</v>
      </c>
      <c r="I420" s="299">
        <f>'Resultater - Vestdanmark'!I420+'Resultater - Østdanmark'!I420</f>
        <v>0</v>
      </c>
      <c r="J420" s="300">
        <f>'Resultater - Vestdanmark'!J420+'Resultater - Østdanmark'!J420</f>
        <v>0</v>
      </c>
    </row>
    <row r="421" spans="1:10" x14ac:dyDescent="0.25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98">
        <f>'Resultater - Vestdanmark'!H421+'Resultater - Østdanmark'!H421</f>
        <v>78449683.248009756</v>
      </c>
      <c r="I421" s="299">
        <f>'Resultater - Vestdanmark'!I421+'Resultater - Østdanmark'!I421</f>
        <v>39224841.624004871</v>
      </c>
      <c r="J421" s="300">
        <f>'Resultater - Vestdanmark'!J421+'Resultater - Østdanmark'!J421</f>
        <v>7844968.3248009756</v>
      </c>
    </row>
    <row r="422" spans="1:10" x14ac:dyDescent="0.25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98">
        <f>'Resultater - Vestdanmark'!H422+'Resultater - Østdanmark'!H422</f>
        <v>143824419.28801787</v>
      </c>
      <c r="I422" s="299">
        <f>'Resultater - Vestdanmark'!I422+'Resultater - Østdanmark'!I422</f>
        <v>71912209.644008934</v>
      </c>
      <c r="J422" s="300">
        <f>'Resultater - Vestdanmark'!J422+'Resultater - Østdanmark'!J422</f>
        <v>14382441.928801792</v>
      </c>
    </row>
    <row r="423" spans="1:10" x14ac:dyDescent="0.25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98">
        <f>'Resultater - Vestdanmark'!H423+'Resultater - Østdanmark'!H423</f>
        <v>1682645129.1528244</v>
      </c>
      <c r="I423" s="299">
        <f>'Resultater - Vestdanmark'!I423+'Resultater - Østdanmark'!I423</f>
        <v>841322564.5764122</v>
      </c>
      <c r="J423" s="300">
        <f>'Resultater - Vestdanmark'!J423+'Resultater - Østdanmark'!J423</f>
        <v>168264512.91528249</v>
      </c>
    </row>
    <row r="424" spans="1:10" x14ac:dyDescent="0.25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98">
        <f>'Resultater - Vestdanmark'!H424+'Resultater - Østdanmark'!H424</f>
        <v>242389405.93295321</v>
      </c>
      <c r="I424" s="299">
        <f>'Resultater - Vestdanmark'!I424+'Resultater - Østdanmark'!I424</f>
        <v>121194702.96647659</v>
      </c>
      <c r="J424" s="300">
        <f>'Resultater - Vestdanmark'!J424+'Resultater - Østdanmark'!J424</f>
        <v>24238940.593295325</v>
      </c>
    </row>
    <row r="425" spans="1:10" x14ac:dyDescent="0.25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98">
        <f>'Resultater - Vestdanmark'!H425+'Resultater - Østdanmark'!H425</f>
        <v>0</v>
      </c>
      <c r="I425" s="299">
        <f>'Resultater - Vestdanmark'!I425+'Resultater - Østdanmark'!I425</f>
        <v>7426067.1315599997</v>
      </c>
      <c r="J425" s="300">
        <f>'Resultater - Vestdanmark'!J425+'Resultater - Østdanmark'!J425</f>
        <v>1485213.4263120003</v>
      </c>
    </row>
    <row r="426" spans="1:10" x14ac:dyDescent="0.25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98">
        <f>'Resultater - Vestdanmark'!H426+'Resultater - Østdanmark'!H426</f>
        <v>0</v>
      </c>
      <c r="I426" s="299">
        <f>'Resultater - Vestdanmark'!I426+'Resultater - Østdanmark'!I426</f>
        <v>0</v>
      </c>
      <c r="J426" s="300">
        <f>'Resultater - Vestdanmark'!J426+'Resultater - Østdanmark'!J426</f>
        <v>0</v>
      </c>
    </row>
    <row r="427" spans="1:10" x14ac:dyDescent="0.25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98">
        <f>'Resultater - Vestdanmark'!H427+'Resultater - Østdanmark'!H427</f>
        <v>2285098465.8907456</v>
      </c>
      <c r="I427" s="299">
        <f>'Resultater - Vestdanmark'!I427+'Resultater - Østdanmark'!I427</f>
        <v>1142549232.9453726</v>
      </c>
      <c r="J427" s="300">
        <f>'Resultater - Vestdanmark'!J427+'Resultater - Østdanmark'!J427</f>
        <v>228509846.58907458</v>
      </c>
    </row>
    <row r="428" spans="1:10" x14ac:dyDescent="0.25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98">
        <f>'Resultater - Vestdanmark'!H428+'Resultater - Østdanmark'!H428</f>
        <v>163939722.68494347</v>
      </c>
      <c r="I428" s="299">
        <f>'Resultater - Vestdanmark'!I428+'Resultater - Østdanmark'!I428</f>
        <v>81969861.342471719</v>
      </c>
      <c r="J428" s="300">
        <f>'Resultater - Vestdanmark'!J428+'Resultater - Østdanmark'!J428</f>
        <v>16393972.268494349</v>
      </c>
    </row>
    <row r="429" spans="1:10" x14ac:dyDescent="0.25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98">
        <f>'Resultater - Vestdanmark'!H429+'Resultater - Østdanmark'!H429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'Resultater - Vestdanmark'!J429+'Resultater - Østdanmark'!J429</f>
        <v>0</v>
      </c>
    </row>
    <row r="430" spans="1:10" x14ac:dyDescent="0.25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98">
        <f>'Resultater - Vestdanmark'!H430+'Resultater - Østdanmark'!H430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'Resultater - Vestdanmark'!J430+'Resultater - Østdanmark'!J430</f>
        <v>401007625.10424006</v>
      </c>
    </row>
    <row r="431" spans="1:10" x14ac:dyDescent="0.25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98">
        <f>'Resultater - Vestdanmark'!H431+'Resultater - Østdanmark'!H431</f>
        <v>121697585.55139975</v>
      </c>
      <c r="I431" s="299">
        <f>'Resultater - Vestdanmark'!I431+'Resultater - Østdanmark'!I431</f>
        <v>60848792.775699876</v>
      </c>
      <c r="J431" s="300">
        <f>'Resultater - Vestdanmark'!J431+'Resultater - Østdanmark'!J431</f>
        <v>12169758.555139977</v>
      </c>
    </row>
    <row r="432" spans="1:10" x14ac:dyDescent="0.25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98">
        <f>'Resultater - Vestdanmark'!H432+'Resultater - Østdanmark'!H432</f>
        <v>4029095270.4041944</v>
      </c>
      <c r="I432" s="299">
        <f>'Resultater - Vestdanmark'!I432+'Resultater - Østdanmark'!I432</f>
        <v>0</v>
      </c>
      <c r="J432" s="300">
        <f>'Resultater - Vestdanmark'!J432+'Resultater - Østdanmark'!J432</f>
        <v>0</v>
      </c>
    </row>
    <row r="433" spans="1:10" x14ac:dyDescent="0.25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98">
        <f>'Resultater - Vestdanmark'!H433+'Resultater - Østdanmark'!H433</f>
        <v>12195000.399999999</v>
      </c>
      <c r="I433" s="299">
        <f>'Resultater - Vestdanmark'!I433+'Resultater - Østdanmark'!I433</f>
        <v>0</v>
      </c>
      <c r="J433" s="300">
        <f>'Resultater - Vestdanmark'!J433+'Resultater - Østdanmark'!J433</f>
        <v>0</v>
      </c>
    </row>
    <row r="434" spans="1:10" x14ac:dyDescent="0.25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98">
        <f>'Resultater - Vestdanmark'!H434+'Resultater - Østdanmark'!H434</f>
        <v>361184.39999999997</v>
      </c>
      <c r="I434" s="299">
        <f>'Resultater - Vestdanmark'!I434+'Resultater - Østdanmark'!I434</f>
        <v>0</v>
      </c>
      <c r="J434" s="300">
        <f>'Resultater - Vestdanmark'!J434+'Resultater - Østdanmark'!J434</f>
        <v>0</v>
      </c>
    </row>
    <row r="435" spans="1:10" x14ac:dyDescent="0.25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98">
        <f>'Resultater - Vestdanmark'!H435+'Resultater - Østdanmark'!H435</f>
        <v>4390946.2499999991</v>
      </c>
      <c r="I435" s="299">
        <f>'Resultater - Vestdanmark'!I435+'Resultater - Østdanmark'!I435</f>
        <v>0</v>
      </c>
      <c r="J435" s="300">
        <f>'Resultater - Vestdanmark'!J435+'Resultater - Østdanmark'!J435</f>
        <v>0</v>
      </c>
    </row>
    <row r="436" spans="1:10" x14ac:dyDescent="0.25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98">
        <f>'Resultater - Vestdanmark'!H436+'Resultater - Østdanmark'!H436</f>
        <v>34978432</v>
      </c>
      <c r="I436" s="299">
        <f>'Resultater - Vestdanmark'!I436+'Resultater - Østdanmark'!I436</f>
        <v>33537498.881190166</v>
      </c>
      <c r="J436" s="300">
        <f>'Resultater - Vestdanmark'!J436+'Resultater - Østdanmark'!J436</f>
        <v>859131.52881669428</v>
      </c>
    </row>
    <row r="437" spans="1:10" s="173" customFormat="1" x14ac:dyDescent="0.25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304">
        <f>'Resultater - Vestdanmark'!H437+'Resultater - Østdanmark'!H437</f>
        <v>-37099.291058504961</v>
      </c>
      <c r="I437" s="305">
        <f>'Resultater - Vestdanmark'!I437+'Resultater - Østdanmark'!I437</f>
        <v>-35570.989356171209</v>
      </c>
      <c r="J437" s="306">
        <f>'Resultater - Vestdanmark'!J437+'Resultater - Østdanmark'!J437</f>
        <v>-911.22354041224264</v>
      </c>
    </row>
    <row r="438" spans="1:10" x14ac:dyDescent="0.25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98">
        <f>'Resultater - Vestdanmark'!H438+'Resultater - Østdanmark'!H438</f>
        <v>61384486.300000004</v>
      </c>
      <c r="I438" s="299">
        <f>'Resultater - Vestdanmark'!I438+'Resultater - Østdanmark'!I438</f>
        <v>61518218.517231889</v>
      </c>
      <c r="J438" s="300">
        <f>'Resultater - Vestdanmark'!J438+'Resultater - Østdanmark'!J438</f>
        <v>8744284.4570762962</v>
      </c>
    </row>
    <row r="439" spans="1:10" s="173" customFormat="1" x14ac:dyDescent="0.25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304">
        <f>'Resultater - Vestdanmark'!H439+'Resultater - Østdanmark'!H439</f>
        <v>-128107.91983655478</v>
      </c>
      <c r="I439" s="305">
        <f>'Resultater - Vestdanmark'!I439+'Resultater - Østdanmark'!I439</f>
        <v>-128387.01569932667</v>
      </c>
      <c r="J439" s="306">
        <f>'Resultater - Vestdanmark'!J439+'Resultater - Østdanmark'!J439</f>
        <v>-18249.107547800108</v>
      </c>
    </row>
    <row r="440" spans="1:10" x14ac:dyDescent="0.25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98">
        <f>'Resultater - Vestdanmark'!H440+'Resultater - Østdanmark'!H440</f>
        <v>58183.649999999994</v>
      </c>
      <c r="I440" s="299">
        <f>'Resultater - Vestdanmark'!I440+'Resultater - Østdanmark'!I440</f>
        <v>38452.460622776627</v>
      </c>
      <c r="J440" s="300">
        <f>'Resultater - Vestdanmark'!J440+'Resultater - Østdanmark'!J440</f>
        <v>10111.552733867537</v>
      </c>
    </row>
    <row r="441" spans="1:10" x14ac:dyDescent="0.25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98">
        <f>'Resultater - Vestdanmark'!H441+'Resultater - Østdanmark'!H441</f>
        <v>45425220.000000007</v>
      </c>
      <c r="I441" s="299">
        <f>'Resultater - Vestdanmark'!I441+'Resultater - Østdanmark'!I441</f>
        <v>64882229.26896964</v>
      </c>
      <c r="J441" s="300">
        <f>'Resultater - Vestdanmark'!J441+'Resultater - Østdanmark'!J441</f>
        <v>18378504.853301931</v>
      </c>
    </row>
    <row r="442" spans="1:10" x14ac:dyDescent="0.25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98">
        <f>'Resultater - Vestdanmark'!H442+'Resultater - Østdanmark'!H442</f>
        <v>33002599.999999996</v>
      </c>
      <c r="I442" s="299">
        <f>'Resultater - Vestdanmark'!I442+'Resultater - Østdanmark'!I442</f>
        <v>0</v>
      </c>
      <c r="J442" s="300">
        <f>'Resultater - Vestdanmark'!J442+'Resultater - Østdanmark'!J442</f>
        <v>0</v>
      </c>
    </row>
    <row r="443" spans="1:10" x14ac:dyDescent="0.25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98">
        <f>'Resultater - Vestdanmark'!H443+'Resultater - Østdanmark'!H443</f>
        <v>2165562</v>
      </c>
      <c r="I443" s="299">
        <f>'Resultater - Vestdanmark'!I443+'Resultater - Østdanmark'!I443</f>
        <v>0</v>
      </c>
      <c r="J443" s="300">
        <f>'Resultater - Vestdanmark'!J443+'Resultater - Østdanmark'!J443</f>
        <v>0</v>
      </c>
    </row>
    <row r="444" spans="1:10" x14ac:dyDescent="0.25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98" t="e">
        <f ca="1">'Resultater - Vestdanmark'!H444+'Resultater - Østdanmark'!H444</f>
        <v>#REF!</v>
      </c>
      <c r="I444" s="299" t="e">
        <f ca="1">'Resultater - Vestdanmark'!I444+'Resultater - Østdanmark'!I444</f>
        <v>#REF!</v>
      </c>
      <c r="J444" s="300" t="e">
        <f ca="1">'Resultater - Vestdanmark'!J444+'Resultater - Østdanmark'!J444</f>
        <v>#REF!</v>
      </c>
    </row>
    <row r="445" spans="1:10" x14ac:dyDescent="0.25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98">
        <f>'Resultater - Vestdanmark'!H445+'Resultater - Østdanmark'!H445</f>
        <v>108157894.02000001</v>
      </c>
      <c r="I445" s="299">
        <f>'Resultater - Vestdanmark'!I445+'Resultater - Østdanmark'!I445</f>
        <v>0</v>
      </c>
      <c r="J445" s="300">
        <f>'Resultater - Vestdanmark'!J445+'Resultater - Østdanmark'!J445</f>
        <v>0</v>
      </c>
    </row>
    <row r="446" spans="1:10" x14ac:dyDescent="0.25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98">
        <f>'Resultater - Vestdanmark'!H446+'Resultater - Østdanmark'!H446</f>
        <v>0</v>
      </c>
      <c r="I446" s="299">
        <f>'Resultater - Vestdanmark'!I446+'Resultater - Østdanmark'!I446</f>
        <v>0</v>
      </c>
      <c r="J446" s="300">
        <f>'Resultater - Vestdanmark'!J446+'Resultater - Østdanmark'!J446</f>
        <v>0</v>
      </c>
    </row>
    <row r="447" spans="1:10" x14ac:dyDescent="0.25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98">
        <f>'Resultater - Vestdanmark'!H447+'Resultater - Østdanmark'!H447</f>
        <v>0</v>
      </c>
      <c r="I447" s="299">
        <f>'Resultater - Vestdanmark'!I447+'Resultater - Østdanmark'!I447</f>
        <v>0</v>
      </c>
      <c r="J447" s="300">
        <f>'Resultater - Vestdanmark'!J447+'Resultater - Østdanmark'!J447</f>
        <v>0</v>
      </c>
    </row>
    <row r="448" spans="1:10" x14ac:dyDescent="0.25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98">
        <f>'Resultater - Vestdanmark'!H448+'Resultater - Østdanmark'!H448</f>
        <v>3689.3999999999996</v>
      </c>
      <c r="I448" s="299">
        <f>'Resultater - Vestdanmark'!I448+'Resultater - Østdanmark'!I448</f>
        <v>0</v>
      </c>
      <c r="J448" s="300">
        <f>'Resultater - Vestdanmark'!J448+'Resultater - Østdanmark'!J448</f>
        <v>0</v>
      </c>
    </row>
    <row r="449" spans="1:13" x14ac:dyDescent="0.25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98">
        <f>'Resultater - Vestdanmark'!H449+'Resultater - Østdanmark'!H449</f>
        <v>0</v>
      </c>
      <c r="I449" s="299">
        <f>'Resultater - Vestdanmark'!I449+'Resultater - Østdanmark'!I449</f>
        <v>3372109.5747402008</v>
      </c>
      <c r="J449" s="300">
        <f>'Resultater - Vestdanmark'!J449+'Resultater - Østdanmark'!J449</f>
        <v>1348843.8298960808</v>
      </c>
    </row>
    <row r="450" spans="1:13" x14ac:dyDescent="0.25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98">
        <f>'Resultater - Vestdanmark'!H450+'Resultater - Østdanmark'!H450</f>
        <v>60431253.120000005</v>
      </c>
      <c r="I450" s="299">
        <f>'Resultater - Vestdanmark'!I450+'Resultater - Østdanmark'!I450</f>
        <v>0</v>
      </c>
      <c r="J450" s="300">
        <f>'Resultater - Vestdanmark'!J450+'Resultater - Østdanmark'!J450</f>
        <v>0</v>
      </c>
    </row>
    <row r="451" spans="1:13" x14ac:dyDescent="0.25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98">
        <f>'Resultater - Vestdanmark'!H451+'Resultater - Østdanmark'!H451</f>
        <v>37096792.599999994</v>
      </c>
      <c r="I451" s="299">
        <f>'Resultater - Vestdanmark'!I451+'Resultater - Østdanmark'!I451</f>
        <v>38175075.047527939</v>
      </c>
      <c r="J451" s="300">
        <f>'Resultater - Vestdanmark'!J451+'Resultater - Østdanmark'!J451</f>
        <v>39546837.696026772</v>
      </c>
      <c r="L451" s="99"/>
    </row>
    <row r="452" spans="1:13" x14ac:dyDescent="0.25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304" t="e">
        <f ca="1">'Resultater - Vestdanmark'!H452+'Resultater - Østdanmark'!H452</f>
        <v>#REF!</v>
      </c>
      <c r="I452" s="305" t="e">
        <f ca="1">'Resultater - Vestdanmark'!I452+'Resultater - Østdanmark'!I452</f>
        <v>#REF!</v>
      </c>
      <c r="J452" s="306" t="e">
        <f ca="1">'Resultater - Vestdanmark'!J452+'Resultater - Østdanmark'!J452</f>
        <v>#REF!</v>
      </c>
    </row>
    <row r="453" spans="1:13" x14ac:dyDescent="0.25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304">
        <f>'Resultater - Vestdanmark'!H453+'Resultater - Østdanmark'!H453</f>
        <v>78133292.533333316</v>
      </c>
      <c r="I453" s="305">
        <f>'Resultater - Vestdanmark'!I453+'Resultater - Østdanmark'!I453</f>
        <v>13135520.395132815</v>
      </c>
      <c r="J453" s="306">
        <f>'Resultater - Vestdanmark'!J453+'Resultater - Østdanmark'!J453</f>
        <v>336493.18211987184</v>
      </c>
    </row>
    <row r="454" spans="1:13" x14ac:dyDescent="0.25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304">
        <f>'Resultater - Vestdanmark'!H454+'Resultater - Østdanmark'!H454</f>
        <v>51391398.766666658</v>
      </c>
      <c r="I454" s="305">
        <f>'Resultater - Vestdanmark'!I454+'Resultater - Østdanmark'!I454</f>
        <v>7302274.5384396184</v>
      </c>
      <c r="J454" s="306">
        <f>'Resultater - Vestdanmark'!J454+'Resultater - Østdanmark'!J454</f>
        <v>1037955.3778836366</v>
      </c>
    </row>
    <row r="455" spans="1:13" x14ac:dyDescent="0.25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304">
        <f>'Resultater - Vestdanmark'!H455+'Resultater - Østdanmark'!H455</f>
        <v>23539.95</v>
      </c>
      <c r="I455" s="305">
        <f>'Resultater - Vestdanmark'!I455+'Resultater - Østdanmark'!I455</f>
        <v>15557.102389367643</v>
      </c>
      <c r="J455" s="306">
        <f>'Resultater - Vestdanmark'!J455+'Resultater - Østdanmark'!J455</f>
        <v>4090.9335488166375</v>
      </c>
    </row>
    <row r="456" spans="1:13" x14ac:dyDescent="0.25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304">
        <f>'Resultater - Vestdanmark'!H456+'Resultater - Østdanmark'!H456</f>
        <v>11532709.900000002</v>
      </c>
      <c r="I456" s="305">
        <f>'Resultater - Vestdanmark'!I456+'Resultater - Østdanmark'!I456</f>
        <v>5731263.5854256507</v>
      </c>
      <c r="J456" s="306">
        <f>'Resultater - Vestdanmark'!J456+'Resultater - Østdanmark'!J456</f>
        <v>1623434.595375004</v>
      </c>
    </row>
    <row r="457" spans="1:13" x14ac:dyDescent="0.25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304" t="e">
        <f ca="1">'Resultater - Vestdanmark'!H457+'Resultater - Østdanmark'!H457</f>
        <v>#REF!</v>
      </c>
      <c r="I457" s="305" t="e">
        <f ca="1">'Resultater - Vestdanmark'!I457+'Resultater - Østdanmark'!I457</f>
        <v>#REF!</v>
      </c>
      <c r="J457" s="306" t="e">
        <f ca="1">'Resultater - Vestdanmark'!J457+'Resultater - Østdanmark'!J457</f>
        <v>#REF!</v>
      </c>
    </row>
    <row r="458" spans="1:13" x14ac:dyDescent="0.25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304" t="e">
        <f ca="1">'Resultater - Vestdanmark'!H458+'Resultater - Østdanmark'!H458</f>
        <v>#REF!</v>
      </c>
      <c r="I458" s="305" t="e">
        <f ca="1">'Resultater - Vestdanmark'!I458+'Resultater - Østdanmark'!I458</f>
        <v>#REF!</v>
      </c>
      <c r="J458" s="306" t="e">
        <f ca="1">'Resultater - Vestdanmark'!J458+'Resultater - Østdanmark'!J458</f>
        <v>#REF!</v>
      </c>
    </row>
    <row r="459" spans="1:13" x14ac:dyDescent="0.25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308">
        <f>'Resultater - Vestdanmark'!H459+'Resultater - Østdanmark'!H459</f>
        <v>19.573590488557194</v>
      </c>
      <c r="I459" s="309">
        <f>'Resultater - Vestdanmark'!I459+'Resultater - Østdanmark'!I459</f>
        <v>10.981478371695641</v>
      </c>
      <c r="J459" s="310">
        <f>'Resultater - Vestdanmark'!J459+'Resultater - Østdanmark'!J459</f>
        <v>5.5468046127230206</v>
      </c>
      <c r="L459" s="172" t="s">
        <v>227</v>
      </c>
      <c r="M459" s="170">
        <v>17963.28</v>
      </c>
    </row>
    <row r="460" spans="1:13" x14ac:dyDescent="0.25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308">
        <f>'Resultater - Vestdanmark'!H460+'Resultater - Østdanmark'!H460</f>
        <v>7.5981675535184188</v>
      </c>
      <c r="I460" s="309">
        <f>'Resultater - Vestdanmark'!I460+'Resultater - Østdanmark'!I460</f>
        <v>5.1082258285052422</v>
      </c>
      <c r="J460" s="310">
        <f>'Resultater - Vestdanmark'!J460+'Resultater - Østdanmark'!J460</f>
        <v>1.7353928211562413</v>
      </c>
      <c r="L460" s="172" t="s">
        <v>231</v>
      </c>
      <c r="M460" s="170">
        <v>14758.1</v>
      </c>
    </row>
    <row r="461" spans="1:13" x14ac:dyDescent="0.25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307">
        <f>'Resultater - Vestdanmark'!H461+'Resultater - Østdanmark'!H461</f>
        <v>3.8599959280679998</v>
      </c>
      <c r="I461" s="309">
        <f>'Resultater - Vestdanmark'!I461+'Resultater - Østdanmark'!I461</f>
        <v>2.054664420866136</v>
      </c>
      <c r="J461" s="310">
        <f>'Resultater - Vestdanmark'!J461+'Resultater - Østdanmark'!J461</f>
        <v>0.64624771574053741</v>
      </c>
      <c r="L461" s="172" t="s">
        <v>228</v>
      </c>
      <c r="M461" s="170">
        <v>1988.19</v>
      </c>
    </row>
    <row r="462" spans="1:13" x14ac:dyDescent="0.25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307">
        <f>'Resultater - Vestdanmark'!H462+'Resultater - Østdanmark'!H462</f>
        <v>43.629098996273854</v>
      </c>
      <c r="I462" s="309">
        <f>'Resultater - Vestdanmark'!I462+'Resultater - Østdanmark'!I462</f>
        <v>41.288597648257841</v>
      </c>
      <c r="J462" s="310">
        <f>'Resultater - Vestdanmark'!J462+'Resultater - Østdanmark'!J462</f>
        <v>38.795014930122719</v>
      </c>
      <c r="L462" s="172" t="s">
        <v>229</v>
      </c>
      <c r="M462" s="170">
        <v>8944.93</v>
      </c>
    </row>
    <row r="463" spans="1:13" x14ac:dyDescent="0.25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307">
        <f>'Resultater - Vestdanmark'!H463+'Resultater - Østdanmark'!H463</f>
        <v>17.543930524502301</v>
      </c>
      <c r="I463" s="309">
        <f>'Resultater - Vestdanmark'!I463+'Resultater - Østdanmark'!I463</f>
        <v>17.545322997702911</v>
      </c>
      <c r="J463" s="310">
        <f>'Resultater - Vestdanmark'!J463+'Resultater - Østdanmark'!J463</f>
        <v>17.545322997702911</v>
      </c>
      <c r="L463" s="172" t="s">
        <v>230</v>
      </c>
      <c r="M463" s="170">
        <v>18651.71</v>
      </c>
    </row>
    <row r="464" spans="1:13" x14ac:dyDescent="0.25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307" t="e">
        <f ca="1">'Resultater - Vestdanmark'!H464+'Resultater - Østdanmark'!H464</f>
        <v>#REF!</v>
      </c>
      <c r="I464" s="309" t="e">
        <f ca="1">'Resultater - Vestdanmark'!I464+'Resultater - Østdanmark'!I464</f>
        <v>#REF!</v>
      </c>
      <c r="J464" s="310" t="e">
        <f ca="1">'Resultater - Vestdanmark'!J464+'Resultater - Østdanmark'!J464</f>
        <v>#REF!</v>
      </c>
      <c r="L464" s="171" t="s">
        <v>112</v>
      </c>
      <c r="M464" s="170">
        <v>16604.849999999999</v>
      </c>
    </row>
    <row r="465" spans="1:13" s="173" customFormat="1" x14ac:dyDescent="0.25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307">
        <f>'Resultater - Vestdanmark'!H465+'Resultater - Østdanmark'!H465</f>
        <v>0</v>
      </c>
      <c r="I465" s="309">
        <f>'Resultater - Vestdanmark'!I465+'Resultater - Østdanmark'!I465</f>
        <v>0</v>
      </c>
      <c r="J465" s="310">
        <f>'Resultater - Vestdanmark'!J465+'Resultater - Østdanmark'!J465</f>
        <v>0</v>
      </c>
      <c r="L465" s="171"/>
      <c r="M465" s="170"/>
    </row>
    <row r="466" spans="1:13" s="173" customFormat="1" x14ac:dyDescent="0.25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307">
        <f>'Resultater - Vestdanmark'!H466+'Resultater - Østdanmark'!H466</f>
        <v>0</v>
      </c>
      <c r="I466" s="309">
        <f>'Resultater - Vestdanmark'!I466+'Resultater - Østdanmark'!I466</f>
        <v>0</v>
      </c>
      <c r="J466" s="310">
        <f>'Resultater - Vestdanmark'!J466+'Resultater - Østdanmark'!J466</f>
        <v>0</v>
      </c>
      <c r="L466" s="171"/>
      <c r="M466" s="170"/>
    </row>
    <row r="467" spans="1:13" x14ac:dyDescent="0.25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311" t="e">
        <f ca="1">'Resultater - Vestdanmark'!H467+'Resultater - Østdanmark'!H467</f>
        <v>#REF!</v>
      </c>
      <c r="I467" s="312" t="e">
        <f ca="1">'Resultater - Vestdanmark'!I467+'Resultater - Østdanmark'!I467</f>
        <v>#REF!</v>
      </c>
      <c r="J467" s="313" t="e">
        <f ca="1">'Resultater - Vestdanmark'!J467+'Resultater - Østdanmark'!J467</f>
        <v>#REF!</v>
      </c>
    </row>
    <row r="468" spans="1:13" x14ac:dyDescent="0.25">
      <c r="A468" s="159" t="str">
        <f>'Resultater - Vestdanmark'!A468</f>
        <v>Proteinproces</v>
      </c>
      <c r="B468" s="159" t="str">
        <f>'Resultater - Vestdanmark'!B468</f>
        <v/>
      </c>
      <c r="C468" s="159" t="str">
        <f>'Resultater - Vestdanmark'!C468</f>
        <v/>
      </c>
      <c r="D468" s="159" t="str">
        <f>'Resultater - Vestdanmark'!D468</f>
        <v>Græs</v>
      </c>
      <c r="E468" s="159" t="str">
        <f>'Resultater - Vestdanmark'!E468</f>
        <v>Ton</v>
      </c>
      <c r="F468" s="159" t="str">
        <f>'Resultater - Vestdanmark'!F468</f>
        <v>Græsprotein</v>
      </c>
      <c r="G468" s="159" t="str">
        <f>'Resultater - Vestdanmark'!G468</f>
        <v>Ton</v>
      </c>
      <c r="H468" s="314">
        <f>'Resultater - Vestdanmark'!H468+'Resultater - Østdanmark'!H468</f>
        <v>0</v>
      </c>
      <c r="I468" s="315">
        <f>'Resultater - Vestdanmark'!I468+'Resultater - Østdanmark'!I468</f>
        <v>729104.77291680011</v>
      </c>
      <c r="J468" s="316">
        <f>'Resultater - Vestdanmark'!J468+'Resultater - Østdanmark'!J468</f>
        <v>145820.95458336006</v>
      </c>
    </row>
    <row r="469" spans="1:13" x14ac:dyDescent="0.25">
      <c r="A469" s="159" t="str">
        <f>'Resultater - Vestdanmark'!A469</f>
        <v>Proteinproces</v>
      </c>
      <c r="B469" s="159" t="str">
        <f>'Resultater - Vestdanmark'!B469</f>
        <v/>
      </c>
      <c r="C469" s="159" t="str">
        <f>'Resultater - Vestdanmark'!C469</f>
        <v/>
      </c>
      <c r="D469" s="159" t="str">
        <f>'Resultater - Vestdanmark'!D469</f>
        <v>Græs</v>
      </c>
      <c r="E469" s="159" t="str">
        <f>'Resultater - Vestdanmark'!E469</f>
        <v>Ton</v>
      </c>
      <c r="F469" s="159" t="str">
        <f>'Resultater - Vestdanmark'!F469</f>
        <v>Fiberfraktion</v>
      </c>
      <c r="G469" s="159" t="str">
        <f>'Resultater - Vestdanmark'!G469</f>
        <v>Ton</v>
      </c>
      <c r="H469" s="314">
        <f>'Resultater - Vestdanmark'!H469+'Resultater - Østdanmark'!H469</f>
        <v>0</v>
      </c>
      <c r="I469" s="315">
        <f>'Resultater - Vestdanmark'!I469+'Resultater - Østdanmark'!I469</f>
        <v>1501098.0618875297</v>
      </c>
      <c r="J469" s="316">
        <f>'Resultater - Vestdanmark'!J469+'Resultater - Østdanmark'!J469</f>
        <v>300219.61237750604</v>
      </c>
    </row>
    <row r="470" spans="1:13" x14ac:dyDescent="0.25">
      <c r="A470" s="159" t="str">
        <f>'Resultater - Vestdanmark'!A470</f>
        <v>Proteinproces</v>
      </c>
      <c r="B470" s="159" t="str">
        <f>'Resultater - Vestdanmark'!B470</f>
        <v/>
      </c>
      <c r="C470" s="159" t="str">
        <f>'Resultater - Vestdanmark'!C470</f>
        <v/>
      </c>
      <c r="D470" s="159" t="str">
        <f>'Resultater - Vestdanmark'!D470</f>
        <v>Græs</v>
      </c>
      <c r="E470" s="159" t="str">
        <f>'Resultater - Vestdanmark'!E470</f>
        <v>Ton</v>
      </c>
      <c r="F470" s="159" t="str">
        <f>'Resultater - Vestdanmark'!F470</f>
        <v>Brun saft</v>
      </c>
      <c r="G470" s="159" t="str">
        <f>'Resultater - Vestdanmark'!G470</f>
        <v>PJ</v>
      </c>
      <c r="H470" s="314">
        <f>'Resultater - Vestdanmark'!H470+'Resultater - Østdanmark'!H470</f>
        <v>0</v>
      </c>
      <c r="I470" s="315">
        <f>'Resultater - Vestdanmark'!I470+'Resultater - Østdanmark'!I470</f>
        <v>2131217.8903035363</v>
      </c>
      <c r="J470" s="316">
        <f>'Resultater - Vestdanmark'!J470+'Resultater - Østdanmark'!J470</f>
        <v>426243.57806070737</v>
      </c>
    </row>
    <row r="471" spans="1:13" x14ac:dyDescent="0.25">
      <c r="A471" s="159" t="str">
        <f>'Resultater - Vestdanmark'!A471</f>
        <v>Rapskageproduktion</v>
      </c>
      <c r="B471" s="159" t="str">
        <f>'Resultater - Vestdanmark'!B471</f>
        <v/>
      </c>
      <c r="C471" s="159" t="str">
        <f>'Resultater - Vestdanmark'!C471</f>
        <v/>
      </c>
      <c r="D471" s="159" t="str">
        <f>'Resultater - Vestdanmark'!D471</f>
        <v>Raps</v>
      </c>
      <c r="E471" s="159" t="str">
        <f>'Resultater - Vestdanmark'!E471</f>
        <v>Ton</v>
      </c>
      <c r="F471" s="159" t="str">
        <f>'Resultater - Vestdanmark'!F471</f>
        <v>Rapskage</v>
      </c>
      <c r="G471" s="159" t="str">
        <f>'Resultater - Vestdanmark'!G471</f>
        <v>Ton</v>
      </c>
      <c r="H471" s="314">
        <f>'Resultater - Vestdanmark'!H471+'Resultater - Østdanmark'!H471</f>
        <v>339203.90863921517</v>
      </c>
      <c r="I471" s="315">
        <f>'Resultater - Vestdanmark'!I471+'Resultater - Østdanmark'!I471</f>
        <v>228045.7959154126</v>
      </c>
      <c r="J471" s="316">
        <f>'Resultater - Vestdanmark'!J471+'Resultater - Østdanmark'!J471</f>
        <v>77472.893801617916</v>
      </c>
    </row>
    <row r="472" spans="1:13" x14ac:dyDescent="0.25">
      <c r="A472" s="159" t="str">
        <f>'Resultater - Vestdanmark'!A472</f>
        <v>Rapskageproduktion</v>
      </c>
      <c r="B472" s="159" t="str">
        <f>'Resultater - Vestdanmark'!B472</f>
        <v/>
      </c>
      <c r="C472" s="159" t="str">
        <f>'Resultater - Vestdanmark'!C472</f>
        <v/>
      </c>
      <c r="D472" s="159" t="str">
        <f>'Resultater - Vestdanmark'!D472</f>
        <v>Raps</v>
      </c>
      <c r="E472" s="159" t="str">
        <f>'Resultater - Vestdanmark'!E472</f>
        <v>Ton</v>
      </c>
      <c r="F472" s="159" t="str">
        <f>'Resultater - Vestdanmark'!F472</f>
        <v>Rapsolie</v>
      </c>
      <c r="G472" s="159" t="str">
        <f>'Resultater - Vestdanmark'!G472</f>
        <v>Ton</v>
      </c>
      <c r="H472" s="314">
        <f>'Resultater - Vestdanmark'!H472+'Resultater - Østdanmark'!H472</f>
        <v>217090.50152909773</v>
      </c>
      <c r="I472" s="315">
        <f>'Resultater - Vestdanmark'!I472+'Resultater - Østdanmark'!I472</f>
        <v>145949.30938586406</v>
      </c>
      <c r="J472" s="316">
        <f>'Resultater - Vestdanmark'!J472+'Resultater - Østdanmark'!J472</f>
        <v>49582.652033035469</v>
      </c>
    </row>
    <row r="473" spans="1:13" x14ac:dyDescent="0.25">
      <c r="A473" s="159" t="str">
        <f>'Resultater - Vestdanmark'!A473</f>
        <v>Pyrolyseproces</v>
      </c>
      <c r="B473" s="159" t="str">
        <f>'Resultater - Vestdanmark'!B473</f>
        <v/>
      </c>
      <c r="C473" s="159" t="str">
        <f>'Resultater - Vestdanmark'!C473</f>
        <v/>
      </c>
      <c r="D473" s="159" t="str">
        <f>'Resultater - Vestdanmark'!D473</f>
        <v>Halm</v>
      </c>
      <c r="E473" s="159" t="str">
        <f>'Resultater - Vestdanmark'!E473</f>
        <v>Ton</v>
      </c>
      <c r="F473" s="159" t="str">
        <f>'Resultater - Vestdanmark'!F473</f>
        <v>CO2 - atmosfære</v>
      </c>
      <c r="G473" s="159" t="str">
        <f>'Resultater - Vestdanmark'!G473</f>
        <v>t CO2-ækvivalenter</v>
      </c>
      <c r="H473" s="314">
        <f>'Resultater - Vestdanmark'!H473+'Resultater - Østdanmark'!H473</f>
        <v>0</v>
      </c>
      <c r="I473" s="315">
        <f>'Resultater - Vestdanmark'!I473+'Resultater - Østdanmark'!I473</f>
        <v>0</v>
      </c>
      <c r="J473" s="316">
        <f>'Resultater - Vestdanmark'!J473+'Resultater - Østdanmark'!J473</f>
        <v>0</v>
      </c>
    </row>
    <row r="474" spans="1:13" x14ac:dyDescent="0.25">
      <c r="A474" s="159" t="str">
        <f>'Resultater - Vestdanmark'!A474</f>
        <v>Pyrolyseproces</v>
      </c>
      <c r="B474" s="159" t="str">
        <f>'Resultater - Vestdanmark'!B474</f>
        <v/>
      </c>
      <c r="C474" s="159" t="str">
        <f>'Resultater - Vestdanmark'!C474</f>
        <v/>
      </c>
      <c r="D474" s="159" t="str">
        <f>'Resultater - Vestdanmark'!D474</f>
        <v>Halm</v>
      </c>
      <c r="E474" s="159" t="str">
        <f>'Resultater - Vestdanmark'!E474</f>
        <v>Ton</v>
      </c>
      <c r="F474" s="159" t="str">
        <f>'Resultater - Vestdanmark'!F474</f>
        <v>Pyrolyseolie</v>
      </c>
      <c r="G474" s="159" t="str">
        <f>'Resultater - Vestdanmark'!G474</f>
        <v>Ton</v>
      </c>
      <c r="H474" s="314">
        <f>'Resultater - Vestdanmark'!H474+'Resultater - Østdanmark'!H474</f>
        <v>0</v>
      </c>
      <c r="I474" s="315">
        <f>'Resultater - Vestdanmark'!I474+'Resultater - Østdanmark'!I474</f>
        <v>0</v>
      </c>
      <c r="J474" s="316">
        <f>'Resultater - Vestdanmark'!J474+'Resultater - Østdanmark'!J474</f>
        <v>0</v>
      </c>
    </row>
    <row r="475" spans="1:13" ht="15.75" thickBot="1" x14ac:dyDescent="0.3">
      <c r="A475" s="159" t="str">
        <f>'Resultater - Vestdanmark'!A475</f>
        <v>Pyrolyseproces</v>
      </c>
      <c r="B475" s="159" t="str">
        <f>'Resultater - Vestdanmark'!B475</f>
        <v/>
      </c>
      <c r="C475" s="159" t="str">
        <f>'Resultater - Vestdanmark'!C475</f>
        <v/>
      </c>
      <c r="D475" s="159" t="str">
        <f>'Resultater - Vestdanmark'!D475</f>
        <v>Halm</v>
      </c>
      <c r="E475" s="159" t="str">
        <f>'Resultater - Vestdanmark'!E475</f>
        <v>Ton</v>
      </c>
      <c r="F475" s="159" t="str">
        <f>'Resultater - Vestdanmark'!F475</f>
        <v>Pyrolysegas</v>
      </c>
      <c r="G475" s="159" t="str">
        <f>'Resultater - Vestdanmark'!G475</f>
        <v>Ton</v>
      </c>
      <c r="H475" s="317">
        <f>'Resultater - Vestdanmark'!H475+'Resultater - Østdanmark'!H475</f>
        <v>0</v>
      </c>
      <c r="I475" s="318">
        <f>'Resultater - Vestdanmark'!I475+'Resultater - Østdanmark'!I475</f>
        <v>0</v>
      </c>
      <c r="J475" s="319">
        <f>'Resultater - Vestdanmark'!J475+'Resultater - Østdanmark'!J475</f>
        <v>0</v>
      </c>
    </row>
    <row r="476" spans="1:13" x14ac:dyDescent="0.25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25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25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25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25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25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25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25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25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25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25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25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25">
      <c r="H488" s="98"/>
      <c r="I488" s="98"/>
      <c r="J488" s="98"/>
    </row>
    <row r="489" spans="1:10" x14ac:dyDescent="0.25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3" sqref="N3:N190"/>
    </sheetView>
  </sheetViews>
  <sheetFormatPr defaultColWidth="18" defaultRowHeight="15" x14ac:dyDescent="0.25"/>
  <cols>
    <col min="1" max="2" width="18.140625" style="194" bestFit="1" customWidth="1"/>
    <col min="3" max="3" width="8.140625" style="194" bestFit="1" customWidth="1"/>
    <col min="4" max="4" width="7.85546875" style="194" customWidth="1"/>
    <col min="5" max="5" width="11.140625" style="194" bestFit="1" customWidth="1"/>
    <col min="6" max="6" width="14.28515625" style="194" bestFit="1" customWidth="1"/>
    <col min="7" max="7" width="10.7109375" style="194" bestFit="1" customWidth="1"/>
    <col min="8" max="8" width="11.7109375" style="194" bestFit="1" customWidth="1"/>
    <col min="9" max="9" width="9" style="194" bestFit="1" customWidth="1"/>
    <col min="10" max="11" width="9.5703125" style="194" bestFit="1" customWidth="1"/>
    <col min="12" max="12" width="10.5703125" style="194" bestFit="1" customWidth="1"/>
    <col min="13" max="13" width="20" style="104" bestFit="1" customWidth="1"/>
    <col min="14" max="14" width="26.42578125" style="104" bestFit="1" customWidth="1"/>
    <col min="15" max="15" width="21.42578125" style="104" bestFit="1" customWidth="1"/>
    <col min="16" max="16" width="20.5703125" style="104" bestFit="1" customWidth="1"/>
    <col min="17" max="17" width="20.28515625" style="104" bestFit="1" customWidth="1"/>
    <col min="18" max="18" width="19.85546875" style="104" bestFit="1" customWidth="1"/>
    <col min="19" max="19" width="18.5703125" style="104" bestFit="1" customWidth="1"/>
    <col min="20" max="20" width="23.7109375" style="104" bestFit="1" customWidth="1"/>
    <col min="21" max="21" width="24" style="104" bestFit="1" customWidth="1"/>
    <col min="22" max="22" width="23.42578125" style="104" bestFit="1" customWidth="1"/>
    <col min="23" max="23" width="22.28515625" style="104" bestFit="1" customWidth="1"/>
    <col min="24" max="24" width="27.42578125" style="104" bestFit="1" customWidth="1"/>
    <col min="25" max="16384" width="18" style="104"/>
  </cols>
  <sheetData>
    <row r="1" spans="1:26" ht="15.75" thickTop="1" x14ac:dyDescent="0.25">
      <c r="A1" s="350" t="s">
        <v>266</v>
      </c>
      <c r="B1" s="350"/>
      <c r="C1" s="350"/>
      <c r="F1" s="351" t="s">
        <v>268</v>
      </c>
      <c r="G1" s="351"/>
      <c r="H1" s="351"/>
      <c r="I1" s="351"/>
      <c r="J1" s="351"/>
      <c r="K1" s="351"/>
      <c r="L1" s="351"/>
      <c r="M1" s="352"/>
      <c r="N1" s="353" t="s">
        <v>269</v>
      </c>
      <c r="O1" s="354"/>
      <c r="P1" s="355"/>
      <c r="Q1" s="347" t="s">
        <v>125</v>
      </c>
      <c r="R1" s="347"/>
      <c r="S1" s="347"/>
      <c r="T1" s="348"/>
      <c r="U1" s="349" t="s">
        <v>241</v>
      </c>
      <c r="V1" s="347"/>
      <c r="W1" s="347"/>
      <c r="X1" s="348"/>
    </row>
    <row r="2" spans="1:26" x14ac:dyDescent="0.25">
      <c r="A2" s="201" t="s">
        <v>131</v>
      </c>
      <c r="B2" s="201" t="s">
        <v>341</v>
      </c>
      <c r="C2" s="201" t="s">
        <v>132</v>
      </c>
      <c r="D2" s="201" t="s">
        <v>59</v>
      </c>
      <c r="E2" s="201" t="s">
        <v>65</v>
      </c>
      <c r="F2" s="201" t="s">
        <v>135</v>
      </c>
      <c r="G2" s="201" t="s">
        <v>115</v>
      </c>
      <c r="H2" s="201" t="s">
        <v>127</v>
      </c>
      <c r="I2" s="201" t="s">
        <v>130</v>
      </c>
      <c r="J2" s="201" t="s">
        <v>112</v>
      </c>
      <c r="K2" s="201" t="s">
        <v>117</v>
      </c>
      <c r="L2" s="201" t="s">
        <v>123</v>
      </c>
      <c r="M2" s="192" t="s">
        <v>235</v>
      </c>
      <c r="N2" s="204" t="s">
        <v>267</v>
      </c>
      <c r="O2" s="201" t="s">
        <v>133</v>
      </c>
      <c r="P2" s="205" t="s">
        <v>198</v>
      </c>
      <c r="Q2" s="201" t="s">
        <v>134</v>
      </c>
      <c r="R2" s="201" t="s">
        <v>244</v>
      </c>
      <c r="S2" s="201" t="s">
        <v>245</v>
      </c>
      <c r="T2" s="203" t="s">
        <v>310</v>
      </c>
      <c r="U2" s="202" t="s">
        <v>247</v>
      </c>
      <c r="V2" s="201" t="s">
        <v>246</v>
      </c>
      <c r="W2" s="201" t="s">
        <v>248</v>
      </c>
      <c r="X2" s="203" t="s">
        <v>309</v>
      </c>
      <c r="Y2" s="96" t="s">
        <v>304</v>
      </c>
      <c r="Z2" s="201" t="s">
        <v>329</v>
      </c>
    </row>
    <row r="3" spans="1:26" x14ac:dyDescent="0.25">
      <c r="A3" s="196" t="s">
        <v>15</v>
      </c>
      <c r="B3" s="196"/>
      <c r="C3" s="196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6">
        <f t="shared" ref="D3:D15" si="0">År1</f>
        <v>2019</v>
      </c>
      <c r="E3" s="194" t="s">
        <v>24</v>
      </c>
      <c r="F3" s="197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4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7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9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6">
        <f>F3-SUM(G3:M3)</f>
        <v>185027.43463784308</v>
      </c>
      <c r="O3" s="197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7">
        <f>SUM(J3,L3)</f>
        <v>0</v>
      </c>
      <c r="Q3" s="194">
        <f>IFERROR(VLOOKUP(A3,[1]Energiindhold!$A$2:$C$11,3,FALSE),IFERROR(VLOOKUP(A3,[1]Biogasudbytte!$A$2:$B$18,2,FALSE)*[1]Energiindhold!$C$10,0))*O3</f>
        <v>0</v>
      </c>
      <c r="R3" s="194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4">
        <f>IFERROR(VLOOKUP(A3,[1]Biogasudbytte!$A$2:$B$18,2,FALSE)*[1]Energiindhold!$C$10,0)*J3*IFERROR(VLOOKUP(A3,Biogasanlæg!$F$3:$G$8,2,FALSE),1)</f>
        <v>0</v>
      </c>
      <c r="T3" s="195">
        <f>R3-S3</f>
        <v>0</v>
      </c>
      <c r="U3" s="193">
        <f>O3*IFERROR(VLOOKUP(A3,[1]Tørstofindhold!A$2:B$25,2,FALSE),0)</f>
        <v>0</v>
      </c>
      <c r="V3" s="194">
        <f>IF(D3=År1,P3,SUM(O3,P3))*IFERROR(VLOOKUP(A3,[1]Tørstofindhold!A$2:B$25,2,FALSE),0)</f>
        <v>0</v>
      </c>
      <c r="W3" s="194">
        <f>J3*IFERROR(VLOOKUP(A3,[1]Tørstofindhold!A$2:B$25,2,FALSE),0)</f>
        <v>0</v>
      </c>
      <c r="X3" s="195">
        <f>V3-W3</f>
        <v>0</v>
      </c>
      <c r="Y3" s="173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hidden="1" x14ac:dyDescent="0.25">
      <c r="A4" s="196" t="s">
        <v>50</v>
      </c>
      <c r="B4" s="196"/>
      <c r="C4" s="196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6">
        <f t="shared" si="0"/>
        <v>2019</v>
      </c>
      <c r="E4" s="194" t="s">
        <v>24</v>
      </c>
      <c r="F4" s="197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4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7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9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6">
        <f t="shared" ref="N4:N15" si="4">F4-SUM(G4:M4)</f>
        <v>193587.85406079434</v>
      </c>
      <c r="O4" s="197">
        <f t="shared" si="1"/>
        <v>0</v>
      </c>
      <c r="P4" s="207">
        <f t="shared" ref="P4:P15" si="5">SUM(J4,L4)</f>
        <v>0</v>
      </c>
      <c r="Q4" s="194">
        <f>IFERROR(VLOOKUP(A4,[1]Energiindhold!$A$2:$C$11,3,FALSE),IFERROR(VLOOKUP(A4,[1]Biogasudbytte!$A$2:$B$18,2,FALSE)*[1]Energiindhold!$C$10,0))*O4</f>
        <v>0</v>
      </c>
      <c r="R4" s="194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4">
        <f>IFERROR(VLOOKUP(A4,[1]Biogasudbytte!$A$2:$B$18,2,FALSE)*[1]Energiindhold!$C$10,0)*J4*IFERROR(VLOOKUP(A4,Biogasanlæg!$F$3:$G$8,2,FALSE),1)</f>
        <v>0</v>
      </c>
      <c r="T4" s="195">
        <f t="shared" ref="T4:T15" si="6">R4-S4</f>
        <v>0</v>
      </c>
      <c r="U4" s="193">
        <f>O4*IFERROR(VLOOKUP(A4,[1]Tørstofindhold!A$2:B$25,2,FALSE),0)</f>
        <v>0</v>
      </c>
      <c r="V4" s="194">
        <f>IF(D4=År1,P4,SUM(O4,P4))*IFERROR(VLOOKUP(A4,[1]Tørstofindhold!A$2:B$25,2,FALSE),0)</f>
        <v>0</v>
      </c>
      <c r="W4" s="194">
        <f>J4*IFERROR(VLOOKUP(A4,[1]Tørstofindhold!A$2:B$25,2,FALSE),0)</f>
        <v>0</v>
      </c>
      <c r="X4" s="195">
        <f t="shared" ref="X4:X15" si="7">V4-W4</f>
        <v>0</v>
      </c>
      <c r="Y4" s="173">
        <f t="shared" si="2"/>
        <v>0</v>
      </c>
      <c r="Z4" s="104">
        <f t="shared" si="3"/>
        <v>1</v>
      </c>
    </row>
    <row r="5" spans="1:26" hidden="1" x14ac:dyDescent="0.25">
      <c r="A5" s="196" t="s">
        <v>104</v>
      </c>
      <c r="B5" s="196" t="s">
        <v>242</v>
      </c>
      <c r="C5" s="196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6">
        <f t="shared" si="0"/>
        <v>2019</v>
      </c>
      <c r="E5" s="194" t="s">
        <v>24</v>
      </c>
      <c r="F5" s="197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0</v>
      </c>
      <c r="G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4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7" t="e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#REF!</v>
      </c>
      <c r="K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7" t="e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#REF!</v>
      </c>
      <c r="M5" s="159" t="e">
        <f ca="1">SUMIFS('Forbrug af biomasse'!E:E,'Forbrug af biomasse'!C:C,'Resultat-Produktion &amp; forbrug'!$A5,'Forbrug af biomasse'!D:D,'Resultat-Produktion &amp; forbrug'!$D5,'Forbrug af biomasse'!G:G,1,'Forbrug af biomasse'!B:B,$E5)</f>
        <v>#REF!</v>
      </c>
      <c r="N5" s="206" t="e">
        <f t="shared" ca="1" si="4"/>
        <v>#REF!</v>
      </c>
      <c r="O5" s="197" t="e">
        <f t="shared" ca="1" si="1"/>
        <v>#REF!</v>
      </c>
      <c r="P5" s="207" t="e">
        <f t="shared" ca="1" si="5"/>
        <v>#REF!</v>
      </c>
      <c r="Q5" s="194" t="e">
        <f ca="1">IFERROR(VLOOKUP(A5,[1]Energiindhold!$A$2:$C$11,3,FALSE),IFERROR(VLOOKUP(A5,[1]Biogasudbytte!$A$2:$B$18,2,FALSE)*[1]Energiindhold!$C$10,0))*O5</f>
        <v>#REF!</v>
      </c>
      <c r="R5" s="194" t="e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#REF!</v>
      </c>
      <c r="S5" s="194" t="e">
        <f ca="1">IFERROR(VLOOKUP(A5,[1]Biogasudbytte!$A$2:$B$18,2,FALSE)*[1]Energiindhold!$C$10,0)*J5*IFERROR(VLOOKUP(A5,Biogasanlæg!$F$3:$G$8,2,FALSE),1)</f>
        <v>#REF!</v>
      </c>
      <c r="T5" s="195" t="e">
        <f t="shared" ca="1" si="6"/>
        <v>#REF!</v>
      </c>
      <c r="U5" s="193" t="e">
        <f ca="1">O5*IFERROR(VLOOKUP(A5,[1]Tørstofindhold!A$2:B$25,2,FALSE),0)</f>
        <v>#REF!</v>
      </c>
      <c r="V5" s="194" t="e">
        <f ca="1">IF(D5=År1,P5,SUM(O5,P5))*IFERROR(VLOOKUP(A5,[1]Tørstofindhold!A$2:B$25,2,FALSE),0)</f>
        <v>#REF!</v>
      </c>
      <c r="W5" s="194" t="e">
        <f ca="1">J5*IFERROR(VLOOKUP(A5,[1]Tørstofindhold!A$2:B$25,2,FALSE),0)</f>
        <v>#REF!</v>
      </c>
      <c r="X5" s="195" t="e">
        <f t="shared" ca="1" si="7"/>
        <v>#REF!</v>
      </c>
      <c r="Y5" s="173" t="e">
        <f t="shared" ca="1" si="2"/>
        <v>#REF!</v>
      </c>
      <c r="Z5" s="104" t="e">
        <f t="shared" ca="1" si="3"/>
        <v>#REF!</v>
      </c>
    </row>
    <row r="6" spans="1:26" hidden="1" x14ac:dyDescent="0.25">
      <c r="A6" s="196" t="s">
        <v>112</v>
      </c>
      <c r="B6" s="196"/>
      <c r="C6" s="196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6">
        <f t="shared" si="0"/>
        <v>2019</v>
      </c>
      <c r="E6" s="194" t="s">
        <v>24</v>
      </c>
      <c r="F6" s="197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318994651.89957649</v>
      </c>
      <c r="G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4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7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318994651.89957649</v>
      </c>
      <c r="M6" s="159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6">
        <f t="shared" ca="1" si="4"/>
        <v>0</v>
      </c>
      <c r="O6" s="197">
        <f t="shared" ca="1" si="1"/>
        <v>0</v>
      </c>
      <c r="P6" s="207">
        <f t="shared" ca="1" si="5"/>
        <v>318994651.89957649</v>
      </c>
      <c r="Q6" s="194">
        <f ca="1">IFERROR(VLOOKUP(A6,[1]Energiindhold!$A$2:$C$11,3,FALSE),IFERROR(VLOOKUP(A6,[1]Biogasudbytte!$A$2:$B$18,2,FALSE)*[1]Energiindhold!$C$10,0))*O6</f>
        <v>0</v>
      </c>
      <c r="R6" s="194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4">
        <f>IFERROR(VLOOKUP(A6,[1]Biogasudbytte!$A$2:$B$18,2,FALSE)*[1]Energiindhold!$C$10,0)*J6*IFERROR(VLOOKUP(A6,Biogasanlæg!$F$3:$G$8,2,FALSE),1)</f>
        <v>0</v>
      </c>
      <c r="T6" s="195">
        <f t="shared" si="6"/>
        <v>0</v>
      </c>
      <c r="U6" s="193">
        <f ca="1">O6*IFERROR(VLOOKUP(A6,[1]Tørstofindhold!A$2:B$25,2,FALSE),0)</f>
        <v>0</v>
      </c>
      <c r="V6" s="194">
        <f ca="1">IF(D6=År1,P6,SUM(O6,P6))*IFERROR(VLOOKUP(A6,[1]Tørstofindhold!A$2:B$25,2,FALSE),0)</f>
        <v>0</v>
      </c>
      <c r="W6" s="194">
        <f>J6*IFERROR(VLOOKUP(A6,[1]Tørstofindhold!A$2:B$25,2,FALSE),0)</f>
        <v>0</v>
      </c>
      <c r="X6" s="195">
        <f t="shared" ca="1" si="7"/>
        <v>0</v>
      </c>
      <c r="Y6" s="173">
        <f t="shared" ca="1" si="2"/>
        <v>0</v>
      </c>
      <c r="Z6" s="104">
        <f t="shared" ca="1" si="3"/>
        <v>0</v>
      </c>
    </row>
    <row r="7" spans="1:26" hidden="1" x14ac:dyDescent="0.25">
      <c r="A7" s="196" t="s">
        <v>113</v>
      </c>
      <c r="B7" s="196"/>
      <c r="C7" s="196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6">
        <f t="shared" si="0"/>
        <v>2019</v>
      </c>
      <c r="E7" s="194" t="s">
        <v>24</v>
      </c>
      <c r="F7" s="197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0</v>
      </c>
      <c r="G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4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7" t="e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#REF!</v>
      </c>
      <c r="L7" s="197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9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6" t="e">
        <f t="shared" ca="1" si="4"/>
        <v>#REF!</v>
      </c>
      <c r="O7" s="197">
        <f t="shared" si="1"/>
        <v>0</v>
      </c>
      <c r="P7" s="207">
        <f t="shared" si="5"/>
        <v>0</v>
      </c>
      <c r="Q7" s="194">
        <f>IFERROR(VLOOKUP(A7,[1]Energiindhold!$A$2:$C$11,3,FALSE),IFERROR(VLOOKUP(A7,[1]Biogasudbytte!$A$2:$B$18,2,FALSE)*[1]Energiindhold!$C$10,0))*O7</f>
        <v>0</v>
      </c>
      <c r="R7" s="194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4">
        <f>IFERROR(VLOOKUP(A7,[1]Biogasudbytte!$A$2:$B$18,2,FALSE)*[1]Energiindhold!$C$10,0)*J7*IFERROR(VLOOKUP(A7,Biogasanlæg!$F$3:$G$8,2,FALSE),1)</f>
        <v>0</v>
      </c>
      <c r="T7" s="195">
        <f t="shared" si="6"/>
        <v>0</v>
      </c>
      <c r="U7" s="193">
        <f>O7*IFERROR(VLOOKUP(A7,[1]Tørstofindhold!A$2:B$25,2,FALSE),0)</f>
        <v>0</v>
      </c>
      <c r="V7" s="194">
        <f>IF(D7=År1,P7,SUM(O7,P7))*IFERROR(VLOOKUP(A7,[1]Tørstofindhold!A$2:B$25,2,FALSE),0)</f>
        <v>0</v>
      </c>
      <c r="W7" s="194">
        <f>J7*IFERROR(VLOOKUP(A7,[1]Tørstofindhold!A$2:B$25,2,FALSE),0)</f>
        <v>0</v>
      </c>
      <c r="X7" s="195">
        <f t="shared" si="7"/>
        <v>0</v>
      </c>
      <c r="Y7" s="173" t="e">
        <f t="shared" ca="1" si="2"/>
        <v>#REF!</v>
      </c>
      <c r="Z7" s="104" t="e">
        <f t="shared" ca="1" si="3"/>
        <v>#REF!</v>
      </c>
    </row>
    <row r="8" spans="1:26" hidden="1" x14ac:dyDescent="0.25">
      <c r="A8" s="196" t="s">
        <v>217</v>
      </c>
      <c r="B8" s="196" t="s">
        <v>242</v>
      </c>
      <c r="C8" s="196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6">
        <f t="shared" si="0"/>
        <v>2019</v>
      </c>
      <c r="E8" s="194" t="s">
        <v>24</v>
      </c>
      <c r="F8" s="197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4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7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9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6">
        <f t="shared" si="4"/>
        <v>0</v>
      </c>
      <c r="O8" s="197">
        <f t="shared" si="1"/>
        <v>0</v>
      </c>
      <c r="P8" s="207">
        <f t="shared" si="5"/>
        <v>0</v>
      </c>
      <c r="Q8" s="194">
        <f>IFERROR(VLOOKUP(A8,[1]Energiindhold!$A$2:$C$11,3,FALSE),IFERROR(VLOOKUP(A8,[1]Biogasudbytte!$A$2:$B$18,2,FALSE)*[1]Energiindhold!$C$10,0))*O8</f>
        <v>0</v>
      </c>
      <c r="R8" s="194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4">
        <f>IFERROR(VLOOKUP(A8,[1]Biogasudbytte!$A$2:$B$18,2,FALSE)*[1]Energiindhold!$C$10,0)*J8*IFERROR(VLOOKUP(A8,Biogasanlæg!$F$3:$G$8,2,FALSE),1)</f>
        <v>0</v>
      </c>
      <c r="T8" s="195">
        <f t="shared" si="6"/>
        <v>0</v>
      </c>
      <c r="U8" s="193">
        <f>O8*IFERROR(VLOOKUP(A8,[1]Tørstofindhold!A$2:B$25,2,FALSE),0)</f>
        <v>0</v>
      </c>
      <c r="V8" s="194">
        <f>IF(D8=År1,P8,SUM(O8,P8))*IFERROR(VLOOKUP(A8,[1]Tørstofindhold!A$2:B$25,2,FALSE),0)</f>
        <v>0</v>
      </c>
      <c r="W8" s="194">
        <f>J8*IFERROR(VLOOKUP(A8,[1]Tørstofindhold!A$2:B$25,2,FALSE),0)</f>
        <v>0</v>
      </c>
      <c r="X8" s="195">
        <f t="shared" si="7"/>
        <v>0</v>
      </c>
      <c r="Y8" s="173">
        <f t="shared" si="2"/>
        <v>0</v>
      </c>
      <c r="Z8" s="104">
        <f t="shared" si="3"/>
        <v>0</v>
      </c>
    </row>
    <row r="9" spans="1:26" hidden="1" x14ac:dyDescent="0.25">
      <c r="A9" s="194" t="s">
        <v>103</v>
      </c>
      <c r="B9" s="196" t="s">
        <v>234</v>
      </c>
      <c r="C9" s="196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6">
        <f t="shared" si="0"/>
        <v>2019</v>
      </c>
      <c r="E9" s="194" t="s">
        <v>24</v>
      </c>
      <c r="F9" s="197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4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7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9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6">
        <f t="shared" si="4"/>
        <v>1198807.4305444965</v>
      </c>
      <c r="O9" s="197">
        <f t="shared" si="1"/>
        <v>1198807.4305444965</v>
      </c>
      <c r="P9" s="207">
        <f>SUM(J9,L9)</f>
        <v>671194.67155029252</v>
      </c>
      <c r="Q9" s="194">
        <f>IFERROR(VLOOKUP(A9,[1]Energiindhold!$A$2:$C$11,3,FALSE),IFERROR(VLOOKUP(A9,[1]Biogasudbytte!$A$2:$B$18,2,FALSE)*[1]Energiindhold!$C$10,0))*O9</f>
        <v>2.5822312053928456</v>
      </c>
      <c r="R9" s="194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4">
        <f>IFERROR(VLOOKUP(A9,[1]Biogasudbytte!$A$2:$B$18,2,FALSE)*[1]Energiindhold!$C$10,0)*J9*IFERROR(VLOOKUP(A9,Biogasanlæg!$F$3:$G$8,2,FALSE),1)</f>
        <v>1.4457533225193302</v>
      </c>
      <c r="T9" s="195">
        <f t="shared" si="6"/>
        <v>0</v>
      </c>
      <c r="U9" s="193">
        <f>O9*IFERROR(VLOOKUP(A9,[1]Tørstofindhold!A$2:B$25,2,FALSE),0)</f>
        <v>359642.22916334897</v>
      </c>
      <c r="V9" s="194">
        <f>IF(D9=År1,P9,SUM(O9,P9))*IFERROR(VLOOKUP(A9,[1]Tørstofindhold!A$2:B$25,2,FALSE),0)</f>
        <v>201358.40146508775</v>
      </c>
      <c r="W9" s="194">
        <f>J9*IFERROR(VLOOKUP(A9,[1]Tørstofindhold!A$2:B$25,2,FALSE),0)</f>
        <v>201358.40146508775</v>
      </c>
      <c r="X9" s="195">
        <f t="shared" si="7"/>
        <v>0</v>
      </c>
      <c r="Y9" s="173">
        <f t="shared" si="2"/>
        <v>0</v>
      </c>
      <c r="Z9" s="104">
        <f t="shared" si="3"/>
        <v>1</v>
      </c>
    </row>
    <row r="10" spans="1:26" hidden="1" x14ac:dyDescent="0.25">
      <c r="A10" s="194" t="s">
        <v>213</v>
      </c>
      <c r="B10" s="196"/>
      <c r="C10" s="196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6">
        <f t="shared" si="0"/>
        <v>2019</v>
      </c>
      <c r="E10" s="194" t="s">
        <v>24</v>
      </c>
      <c r="F10" s="197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4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7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9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6">
        <f t="shared" si="4"/>
        <v>0</v>
      </c>
      <c r="O10" s="197">
        <f t="shared" si="1"/>
        <v>0</v>
      </c>
      <c r="P10" s="207">
        <f t="shared" si="5"/>
        <v>0</v>
      </c>
      <c r="Q10" s="194">
        <f>IFERROR(VLOOKUP(A10,[1]Energiindhold!$A$2:$C$11,3,FALSE),IFERROR(VLOOKUP(A10,[1]Biogasudbytte!$A$2:$B$18,2,FALSE)*[1]Energiindhold!$C$10,0))*O10</f>
        <v>0</v>
      </c>
      <c r="R10" s="194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4">
        <f>IFERROR(VLOOKUP(A10,[1]Biogasudbytte!$A$2:$B$18,2,FALSE)*[1]Energiindhold!$C$10,0)*J10*IFERROR(VLOOKUP(A10,Biogasanlæg!$F$3:$G$8,2,FALSE),1)</f>
        <v>0</v>
      </c>
      <c r="T10" s="195">
        <f t="shared" si="6"/>
        <v>0</v>
      </c>
      <c r="U10" s="193">
        <f>O10*IFERROR(VLOOKUP(A10,[1]Tørstofindhold!A$2:B$25,2,FALSE),0)</f>
        <v>0</v>
      </c>
      <c r="V10" s="194">
        <f>IF(D10=År1,P10,SUM(O10,P10))*IFERROR(VLOOKUP(A10,[1]Tørstofindhold!A$2:B$25,2,FALSE),0)</f>
        <v>0</v>
      </c>
      <c r="W10" s="194">
        <f>J10*IFERROR(VLOOKUP(A10,[1]Tørstofindhold!A$2:B$25,2,FALSE),0)</f>
        <v>0</v>
      </c>
      <c r="X10" s="195">
        <f t="shared" si="7"/>
        <v>0</v>
      </c>
      <c r="Y10" s="173">
        <f t="shared" si="2"/>
        <v>0</v>
      </c>
      <c r="Z10" s="104">
        <f t="shared" si="3"/>
        <v>0</v>
      </c>
    </row>
    <row r="11" spans="1:26" hidden="1" x14ac:dyDescent="0.25">
      <c r="A11" s="194" t="s">
        <v>143</v>
      </c>
      <c r="B11" s="196" t="s">
        <v>234</v>
      </c>
      <c r="C11" s="196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6">
        <f t="shared" si="0"/>
        <v>2019</v>
      </c>
      <c r="E11" s="194" t="s">
        <v>24</v>
      </c>
      <c r="F11" s="197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4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7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9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6">
        <f t="shared" si="4"/>
        <v>996.63864324012138</v>
      </c>
      <c r="O11" s="197">
        <f t="shared" si="1"/>
        <v>996.63864324012138</v>
      </c>
      <c r="P11" s="207">
        <f t="shared" si="5"/>
        <v>4103.8061780475591</v>
      </c>
      <c r="Q11" s="194">
        <f>IFERROR(VLOOKUP(A11,[1]Energiindhold!$A$2:$C$11,3,FALSE),IFERROR(VLOOKUP(A11,[1]Biogasudbytte!$A$2:$B$18,2,FALSE)*[1]Energiindhold!$C$10,0))*O11</f>
        <v>4.6870918752939668E-4</v>
      </c>
      <c r="R11" s="194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4">
        <f>IFERROR(VLOOKUP(A11,[1]Biogasudbytte!$A$2:$B$18,2,FALSE)*[1]Energiindhold!$C$10,0)*J11*IFERROR(VLOOKUP(A11,Biogasanlæg!$F$3:$G$8,2,FALSE),1)</f>
        <v>1.9299790074739866E-3</v>
      </c>
      <c r="T11" s="195">
        <f t="shared" si="6"/>
        <v>0</v>
      </c>
      <c r="U11" s="193">
        <f>O11*IFERROR(VLOOKUP(A11,[1]Tørstofindhold!A$2:B$25,2,FALSE),0)</f>
        <v>62.788234524127645</v>
      </c>
      <c r="V11" s="194">
        <f>IF(D11=År1,P11,SUM(O11,P11))*IFERROR(VLOOKUP(A11,[1]Tørstofindhold!A$2:B$25,2,FALSE),0)</f>
        <v>258.53978921699621</v>
      </c>
      <c r="W11" s="194">
        <f>J11*IFERROR(VLOOKUP(A11,[1]Tørstofindhold!A$2:B$25,2,FALSE),0)</f>
        <v>258.53978921699621</v>
      </c>
      <c r="X11" s="195">
        <f t="shared" si="7"/>
        <v>0</v>
      </c>
      <c r="Y11" s="173">
        <f t="shared" si="2"/>
        <v>0</v>
      </c>
      <c r="Z11" s="104">
        <f t="shared" si="3"/>
        <v>1</v>
      </c>
    </row>
    <row r="12" spans="1:26" x14ac:dyDescent="0.25">
      <c r="A12" s="194" t="s">
        <v>98</v>
      </c>
      <c r="B12" s="196"/>
      <c r="C12" s="196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6">
        <f t="shared" si="0"/>
        <v>2019</v>
      </c>
      <c r="E12" s="194" t="s">
        <v>24</v>
      </c>
      <c r="F12" s="197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4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7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9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6">
        <f t="shared" si="4"/>
        <v>151426.86140259454</v>
      </c>
      <c r="O12" s="197">
        <f t="shared" si="1"/>
        <v>0</v>
      </c>
      <c r="P12" s="207">
        <f t="shared" si="5"/>
        <v>0</v>
      </c>
      <c r="Q12" s="194">
        <f>IFERROR(VLOOKUP(A12,[1]Energiindhold!$A$2:$C$11,3,FALSE),IFERROR(VLOOKUP(A12,[1]Biogasudbytte!$A$2:$B$18,2,FALSE)*[1]Energiindhold!$C$10,0))*O12</f>
        <v>0</v>
      </c>
      <c r="R12" s="194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4">
        <f>IFERROR(VLOOKUP(A12,[1]Biogasudbytte!$A$2:$B$18,2,FALSE)*[1]Energiindhold!$C$10,0)*J12*IFERROR(VLOOKUP(A12,Biogasanlæg!$F$3:$G$8,2,FALSE),1)</f>
        <v>0</v>
      </c>
      <c r="T12" s="195">
        <f t="shared" si="6"/>
        <v>0</v>
      </c>
      <c r="U12" s="193">
        <f>O12*IFERROR(VLOOKUP(A12,[1]Tørstofindhold!A$2:B$25,2,FALSE),0)</f>
        <v>0</v>
      </c>
      <c r="V12" s="194">
        <f>IF(D12=År1,P12,SUM(O12,P12))*IFERROR(VLOOKUP(A12,[1]Tørstofindhold!A$2:B$25,2,FALSE),0)</f>
        <v>0</v>
      </c>
      <c r="W12" s="194">
        <f>J12*IFERROR(VLOOKUP(A12,[1]Tørstofindhold!A$2:B$25,2,FALSE),0)</f>
        <v>0</v>
      </c>
      <c r="X12" s="195">
        <f t="shared" si="7"/>
        <v>0</v>
      </c>
      <c r="Y12" s="173">
        <f t="shared" si="2"/>
        <v>0</v>
      </c>
      <c r="Z12" s="104">
        <f t="shared" si="3"/>
        <v>1</v>
      </c>
    </row>
    <row r="13" spans="1:26" hidden="1" x14ac:dyDescent="0.25">
      <c r="A13" s="194" t="s">
        <v>116</v>
      </c>
      <c r="B13" s="196"/>
      <c r="C13" s="196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6">
        <f t="shared" si="0"/>
        <v>2019</v>
      </c>
      <c r="E13" s="194" t="s">
        <v>24</v>
      </c>
      <c r="F13" s="197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4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7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9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6">
        <f t="shared" si="4"/>
        <v>890042.58416558511</v>
      </c>
      <c r="O13" s="197">
        <f t="shared" si="1"/>
        <v>0</v>
      </c>
      <c r="P13" s="207">
        <f t="shared" si="5"/>
        <v>0</v>
      </c>
      <c r="Q13" s="194">
        <f>IFERROR(VLOOKUP(A13,[1]Energiindhold!$A$2:$C$11,3,FALSE),IFERROR(VLOOKUP(A13,[1]Biogasudbytte!$A$2:$B$18,2,FALSE)*[1]Energiindhold!$C$10,0))*O13</f>
        <v>0</v>
      </c>
      <c r="R13" s="194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4">
        <f>IFERROR(VLOOKUP(A13,[1]Biogasudbytte!$A$2:$B$18,2,FALSE)*[1]Energiindhold!$C$10,0)*J13*IFERROR(VLOOKUP(A13,Biogasanlæg!$F$3:$G$8,2,FALSE),1)</f>
        <v>0</v>
      </c>
      <c r="T13" s="195">
        <f t="shared" si="6"/>
        <v>0</v>
      </c>
      <c r="U13" s="193">
        <f>O13*IFERROR(VLOOKUP(A13,[1]Tørstofindhold!A$2:B$25,2,FALSE),0)</f>
        <v>0</v>
      </c>
      <c r="V13" s="194">
        <f>IF(D13=År1,P13,SUM(O13,P13))*IFERROR(VLOOKUP(A13,[1]Tørstofindhold!A$2:B$25,2,FALSE),0)</f>
        <v>0</v>
      </c>
      <c r="W13" s="194">
        <f>J13*IFERROR(VLOOKUP(A13,[1]Tørstofindhold!A$2:B$25,2,FALSE),0)</f>
        <v>0</v>
      </c>
      <c r="X13" s="195">
        <f t="shared" si="7"/>
        <v>0</v>
      </c>
      <c r="Y13" s="173">
        <f t="shared" si="2"/>
        <v>0</v>
      </c>
      <c r="Z13" s="104">
        <f t="shared" si="3"/>
        <v>1</v>
      </c>
    </row>
    <row r="14" spans="1:26" x14ac:dyDescent="0.25">
      <c r="A14" s="194" t="s">
        <v>55</v>
      </c>
      <c r="B14" s="196"/>
      <c r="C14" s="196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6">
        <f t="shared" si="0"/>
        <v>2019</v>
      </c>
      <c r="E14" s="194" t="s">
        <v>24</v>
      </c>
      <c r="F14" s="197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4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7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9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6">
        <f t="shared" si="4"/>
        <v>-223630.22327361835</v>
      </c>
      <c r="O14" s="197">
        <f t="shared" si="1"/>
        <v>0</v>
      </c>
      <c r="P14" s="207">
        <f t="shared" si="5"/>
        <v>0</v>
      </c>
      <c r="Q14" s="194">
        <f>IFERROR(VLOOKUP(A14,[1]Energiindhold!$A$2:$C$11,3,FALSE),IFERROR(VLOOKUP(A14,[1]Biogasudbytte!$A$2:$B$18,2,FALSE)*[1]Energiindhold!$C$10,0))*O14</f>
        <v>0</v>
      </c>
      <c r="R14" s="194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4">
        <f>IFERROR(VLOOKUP(A14,[1]Biogasudbytte!$A$2:$B$18,2,FALSE)*[1]Energiindhold!$C$10,0)*J14*IFERROR(VLOOKUP(A14,Biogasanlæg!$F$3:$G$8,2,FALSE),1)</f>
        <v>0</v>
      </c>
      <c r="T14" s="195">
        <f t="shared" si="6"/>
        <v>0</v>
      </c>
      <c r="U14" s="193">
        <f>O14*IFERROR(VLOOKUP(A14,[1]Tørstofindhold!A$2:B$25,2,FALSE),0)</f>
        <v>0</v>
      </c>
      <c r="V14" s="194">
        <f>IF(D14=År1,P14,SUM(O14,P14))*IFERROR(VLOOKUP(A14,[1]Tørstofindhold!A$2:B$25,2,FALSE),0)</f>
        <v>0</v>
      </c>
      <c r="W14" s="194">
        <f>J14*IFERROR(VLOOKUP(A14,[1]Tørstofindhold!A$2:B$25,2,FALSE),0)</f>
        <v>0</v>
      </c>
      <c r="X14" s="195">
        <f t="shared" si="7"/>
        <v>0</v>
      </c>
      <c r="Y14" s="173">
        <f t="shared" si="2"/>
        <v>1</v>
      </c>
      <c r="Z14" s="104">
        <f t="shared" si="3"/>
        <v>0</v>
      </c>
    </row>
    <row r="15" spans="1:26" hidden="1" x14ac:dyDescent="0.25">
      <c r="A15" s="196" t="s">
        <v>165</v>
      </c>
      <c r="B15" s="196" t="s">
        <v>165</v>
      </c>
      <c r="C15" s="196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6">
        <f t="shared" si="0"/>
        <v>2019</v>
      </c>
      <c r="E15" s="194" t="s">
        <v>24</v>
      </c>
      <c r="F15" s="197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4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7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9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6">
        <f t="shared" si="4"/>
        <v>-114193.60000000001</v>
      </c>
      <c r="O15" s="197">
        <f t="shared" si="1"/>
        <v>0</v>
      </c>
      <c r="P15" s="207">
        <f t="shared" si="5"/>
        <v>114193.60000000001</v>
      </c>
      <c r="Q15" s="194">
        <f>IFERROR(VLOOKUP(A15,[1]Energiindhold!$A$2:$C$11,3,FALSE),IFERROR(VLOOKUP(A15,[1]Biogasudbytte!$A$2:$B$18,2,FALSE)*[1]Energiindhold!$C$10,0))*O15</f>
        <v>0</v>
      </c>
      <c r="R15" s="194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4">
        <f>IFERROR(VLOOKUP(A15,[1]Biogasudbytte!$A$2:$B$18,2,FALSE)*[1]Energiindhold!$C$10,0)*J15*IFERROR(VLOOKUP(A15,Biogasanlæg!$F$3:$G$8,2,FALSE),1)</f>
        <v>1.7355855896064003</v>
      </c>
      <c r="T15" s="195">
        <f t="shared" si="6"/>
        <v>0</v>
      </c>
      <c r="U15" s="193">
        <f>O15*IFERROR(VLOOKUP(A15,[1]Tørstofindhold!A$2:B$25,2,FALSE),0)</f>
        <v>0</v>
      </c>
      <c r="V15" s="194">
        <f>IF(D15=År1,P15,SUM(O15,P15))*IFERROR(VLOOKUP(A15,[1]Tørstofindhold!A$2:B$25,2,FALSE),0)</f>
        <v>102774.24</v>
      </c>
      <c r="W15" s="194">
        <f>J15*IFERROR(VLOOKUP(A15,[1]Tørstofindhold!A$2:B$25,2,FALSE),0)</f>
        <v>102774.24</v>
      </c>
      <c r="X15" s="195">
        <f t="shared" si="7"/>
        <v>0</v>
      </c>
      <c r="Y15" s="173">
        <f t="shared" si="2"/>
        <v>1</v>
      </c>
      <c r="Z15" s="104">
        <f t="shared" si="3"/>
        <v>0</v>
      </c>
    </row>
    <row r="16" spans="1:26" hidden="1" x14ac:dyDescent="0.25">
      <c r="A16" s="196" t="s">
        <v>52</v>
      </c>
      <c r="B16" s="196" t="s">
        <v>236</v>
      </c>
      <c r="C16" s="196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6">
        <f t="shared" ref="D16:D50" si="8">År1</f>
        <v>2019</v>
      </c>
      <c r="E16" s="194" t="s">
        <v>24</v>
      </c>
      <c r="F16" s="197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4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7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9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6">
        <f t="shared" ref="N16:N81" si="9">F16-SUM(G16:M16)</f>
        <v>3550175.4953867961</v>
      </c>
      <c r="O16" s="197">
        <f t="shared" si="1"/>
        <v>3550175.4953867961</v>
      </c>
      <c r="P16" s="207">
        <f t="shared" ref="P16:P81" si="10">SUM(J16,L16)</f>
        <v>75746.163899662715</v>
      </c>
      <c r="Q16" s="194">
        <f>IFERROR(VLOOKUP(A16,[1]Energiindhold!$A$2:$C$11,3,FALSE),IFERROR(VLOOKUP(A16,[1]Biogasudbytte!$A$2:$B$18,2,FALSE)*[1]Energiindhold!$C$10,0))*O16</f>
        <v>6.5318791395747819</v>
      </c>
      <c r="R16" s="194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4">
        <f>IFERROR(VLOOKUP(A16,[1]Biogasudbytte!$A$2:$B$18,2,FALSE)*[1]Energiindhold!$C$10,0)*J16*IFERROR(VLOOKUP(A16,Biogasanlæg!$F$3:$G$8,2,FALSE),1)</f>
        <v>0.13936347330489193</v>
      </c>
      <c r="T16" s="195">
        <f t="shared" ref="T16:T81" si="11">R16-S16</f>
        <v>0</v>
      </c>
      <c r="U16" s="193">
        <f>O16*IFERROR(VLOOKUP(A16,[1]Tørstofindhold!A$2:B$25,2,FALSE),0)</f>
        <v>994049.13870830298</v>
      </c>
      <c r="V16" s="194">
        <f>IF(D16=År1,P16,SUM(O16,P16))*IFERROR(VLOOKUP(A16,[1]Tørstofindhold!A$2:B$25,2,FALSE),0)</f>
        <v>21208.925891905561</v>
      </c>
      <c r="W16" s="194">
        <f>J16*IFERROR(VLOOKUP(A16,[1]Tørstofindhold!A$2:B$25,2,FALSE),0)</f>
        <v>21208.925891905561</v>
      </c>
      <c r="X16" s="195">
        <f t="shared" ref="X16:X81" si="12">V16-W16</f>
        <v>0</v>
      </c>
      <c r="Y16" s="173">
        <f t="shared" si="2"/>
        <v>0</v>
      </c>
      <c r="Z16" s="104">
        <f t="shared" si="3"/>
        <v>1</v>
      </c>
    </row>
    <row r="17" spans="1:26" hidden="1" x14ac:dyDescent="0.25">
      <c r="A17" s="196" t="s">
        <v>212</v>
      </c>
      <c r="B17" s="196"/>
      <c r="C17" s="196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6">
        <f t="shared" si="8"/>
        <v>2019</v>
      </c>
      <c r="E17" s="194" t="s">
        <v>24</v>
      </c>
      <c r="F17" s="197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4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7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9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6">
        <f t="shared" si="9"/>
        <v>0</v>
      </c>
      <c r="O17" s="197">
        <f t="shared" si="1"/>
        <v>0</v>
      </c>
      <c r="P17" s="207">
        <f t="shared" si="10"/>
        <v>0</v>
      </c>
      <c r="Q17" s="194">
        <f>IFERROR(VLOOKUP(A17,[1]Energiindhold!$A$2:$C$11,3,FALSE),IFERROR(VLOOKUP(A17,[1]Biogasudbytte!$A$2:$B$18,2,FALSE)*[1]Energiindhold!$C$10,0))*O17</f>
        <v>0</v>
      </c>
      <c r="R17" s="194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4">
        <f>IFERROR(VLOOKUP(A17,[1]Biogasudbytte!$A$2:$B$18,2,FALSE)*[1]Energiindhold!$C$10,0)*J17*IFERROR(VLOOKUP(A17,Biogasanlæg!$F$3:$G$8,2,FALSE),1)</f>
        <v>0</v>
      </c>
      <c r="T17" s="195">
        <f t="shared" si="11"/>
        <v>0</v>
      </c>
      <c r="U17" s="193">
        <f>O17*IFERROR(VLOOKUP(A17,[1]Tørstofindhold!A$2:B$25,2,FALSE),0)</f>
        <v>0</v>
      </c>
      <c r="V17" s="194">
        <f>IF(D17=År1,P17,SUM(O17,P17))*IFERROR(VLOOKUP(A17,[1]Tørstofindhold!A$2:B$25,2,FALSE),0)</f>
        <v>0</v>
      </c>
      <c r="W17" s="194">
        <f>J17*IFERROR(VLOOKUP(A17,[1]Tørstofindhold!A$2:B$25,2,FALSE),0)</f>
        <v>0</v>
      </c>
      <c r="X17" s="195">
        <f t="shared" si="12"/>
        <v>0</v>
      </c>
      <c r="Y17" s="173">
        <f t="shared" si="2"/>
        <v>0</v>
      </c>
      <c r="Z17" s="104">
        <f t="shared" si="3"/>
        <v>0</v>
      </c>
    </row>
    <row r="18" spans="1:26" x14ac:dyDescent="0.25">
      <c r="A18" s="196" t="s">
        <v>6</v>
      </c>
      <c r="B18" s="196"/>
      <c r="C18" s="196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6">
        <f t="shared" si="8"/>
        <v>2019</v>
      </c>
      <c r="E18" s="194" t="s">
        <v>24</v>
      </c>
      <c r="F18" s="197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4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7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9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6">
        <f t="shared" si="9"/>
        <v>-76844.925452788419</v>
      </c>
      <c r="O18" s="197">
        <f t="shared" si="1"/>
        <v>0</v>
      </c>
      <c r="P18" s="207">
        <f t="shared" si="10"/>
        <v>0</v>
      </c>
      <c r="Q18" s="194">
        <f>IFERROR(VLOOKUP(A18,[1]Energiindhold!$A$2:$C$11,3,FALSE),IFERROR(VLOOKUP(A18,[1]Biogasudbytte!$A$2:$B$18,2,FALSE)*[1]Energiindhold!$C$10,0))*O18</f>
        <v>0</v>
      </c>
      <c r="R18" s="194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4">
        <f>IFERROR(VLOOKUP(A18,[1]Biogasudbytte!$A$2:$B$18,2,FALSE)*[1]Energiindhold!$C$10,0)*J18*IFERROR(VLOOKUP(A18,Biogasanlæg!$F$3:$G$8,2,FALSE),1)</f>
        <v>0</v>
      </c>
      <c r="T18" s="195">
        <f t="shared" si="11"/>
        <v>0</v>
      </c>
      <c r="U18" s="193">
        <f>O18*IFERROR(VLOOKUP(A18,[1]Tørstofindhold!A$2:B$25,2,FALSE),0)</f>
        <v>0</v>
      </c>
      <c r="V18" s="194">
        <f>IF(D18=År1,P18,SUM(O18,P18))*IFERROR(VLOOKUP(A18,[1]Tørstofindhold!A$2:B$25,2,FALSE),0)</f>
        <v>0</v>
      </c>
      <c r="W18" s="194">
        <f>J18*IFERROR(VLOOKUP(A18,[1]Tørstofindhold!A$2:B$25,2,FALSE),0)</f>
        <v>0</v>
      </c>
      <c r="X18" s="195">
        <f t="shared" si="12"/>
        <v>0</v>
      </c>
      <c r="Y18" s="173">
        <f t="shared" si="2"/>
        <v>1</v>
      </c>
      <c r="Z18" s="104">
        <f t="shared" si="3"/>
        <v>0</v>
      </c>
    </row>
    <row r="19" spans="1:26" hidden="1" x14ac:dyDescent="0.25">
      <c r="A19" s="196" t="s">
        <v>69</v>
      </c>
      <c r="B19" s="196" t="s">
        <v>239</v>
      </c>
      <c r="C19" s="196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6">
        <f t="shared" si="8"/>
        <v>2019</v>
      </c>
      <c r="E19" s="194" t="s">
        <v>24</v>
      </c>
      <c r="F19" s="197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4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7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9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6">
        <f t="shared" si="9"/>
        <v>0</v>
      </c>
      <c r="O19" s="197">
        <f t="shared" si="1"/>
        <v>0</v>
      </c>
      <c r="P19" s="207">
        <f t="shared" si="10"/>
        <v>1212729.2061799087</v>
      </c>
      <c r="Q19" s="194">
        <f>IFERROR(VLOOKUP(A19,[1]Energiindhold!$A$2:$C$11,3,FALSE),IFERROR(VLOOKUP(A19,[1]Biogasudbytte!$A$2:$B$18,2,FALSE)*[1]Energiindhold!$C$10,0))*O19</f>
        <v>0</v>
      </c>
      <c r="R19" s="194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4">
        <f>IFERROR(VLOOKUP(A19,[1]Biogasudbytte!$A$2:$B$18,2,FALSE)*[1]Energiindhold!$C$10,0)*J19*IFERROR(VLOOKUP(A19,Biogasanlæg!$F$3:$G$8,2,FALSE),1)</f>
        <v>0.3063744116894675</v>
      </c>
      <c r="T19" s="195">
        <f t="shared" si="11"/>
        <v>11.985300912376998</v>
      </c>
      <c r="U19" s="193">
        <f>O19*IFERROR(VLOOKUP(A19,[1]Tørstofindhold!A$2:B$25,2,FALSE),0)</f>
        <v>0</v>
      </c>
      <c r="V19" s="194">
        <f>IF(D19=År1,P19,SUM(O19,P19))*IFERROR(VLOOKUP(A19,[1]Tørstofindhold!A$2:B$25,2,FALSE),0)</f>
        <v>1030819.8252529224</v>
      </c>
      <c r="W19" s="194">
        <f>J19*IFERROR(VLOOKUP(A19,[1]Tørstofindhold!A$2:B$25,2,FALSE),0)</f>
        <v>45168.058835086973</v>
      </c>
      <c r="X19" s="195">
        <f t="shared" si="12"/>
        <v>985651.76641783537</v>
      </c>
      <c r="Y19" s="173">
        <f t="shared" si="2"/>
        <v>0</v>
      </c>
      <c r="Z19" s="104">
        <f t="shared" si="3"/>
        <v>0</v>
      </c>
    </row>
    <row r="20" spans="1:26" hidden="1" x14ac:dyDescent="0.25">
      <c r="A20" s="196" t="s">
        <v>169</v>
      </c>
      <c r="B20" s="196" t="s">
        <v>242</v>
      </c>
      <c r="C20" s="196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6">
        <f t="shared" si="8"/>
        <v>2019</v>
      </c>
      <c r="E20" s="194" t="s">
        <v>24</v>
      </c>
      <c r="F20" s="197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4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7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9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6">
        <f t="shared" si="9"/>
        <v>0</v>
      </c>
      <c r="O20" s="197">
        <f t="shared" si="1"/>
        <v>0</v>
      </c>
      <c r="P20" s="207">
        <f t="shared" si="10"/>
        <v>530462.48766233202</v>
      </c>
      <c r="Q20" s="194">
        <f>IFERROR(VLOOKUP(A20,[1]Energiindhold!$A$2:$C$11,3,FALSE),IFERROR(VLOOKUP(A20,[1]Biogasudbytte!$A$2:$B$18,2,FALSE)*[1]Energiindhold!$C$10,0))*O20</f>
        <v>0</v>
      </c>
      <c r="R20" s="194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4">
        <f>IFERROR(VLOOKUP(A20,[1]Biogasudbytte!$A$2:$B$18,2,FALSE)*[1]Energiindhold!$C$10,0)*J20*IFERROR(VLOOKUP(A20,Biogasanlæg!$F$3:$G$8,2,FALSE),1)</f>
        <v>7.148842760000421E-5</v>
      </c>
      <c r="T20" s="195">
        <f t="shared" si="11"/>
        <v>9.4691817325671721</v>
      </c>
      <c r="U20" s="193">
        <f>O20*IFERROR(VLOOKUP(A20,[1]Tørstofindhold!A$2:B$25,2,FALSE),0)</f>
        <v>0</v>
      </c>
      <c r="V20" s="194">
        <f>IF(D20=År1,P20,SUM(O20,P20))*IFERROR(VLOOKUP(A20,[1]Tørstofindhold!A$2:B$25,2,FALSE),0)</f>
        <v>159138.74629869961</v>
      </c>
      <c r="W20" s="194">
        <f>J20*IFERROR(VLOOKUP(A20,[1]Tørstofindhold!A$2:B$25,2,FALSE),0)</f>
        <v>12.629943571231609</v>
      </c>
      <c r="X20" s="195">
        <f t="shared" si="12"/>
        <v>159126.11635512838</v>
      </c>
      <c r="Y20" s="173">
        <f t="shared" si="2"/>
        <v>0</v>
      </c>
      <c r="Z20" s="104">
        <f t="shared" si="3"/>
        <v>0</v>
      </c>
    </row>
    <row r="21" spans="1:26" hidden="1" x14ac:dyDescent="0.25">
      <c r="A21" s="194" t="s">
        <v>166</v>
      </c>
      <c r="B21" s="196"/>
      <c r="C21" s="196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6">
        <f t="shared" si="8"/>
        <v>2019</v>
      </c>
      <c r="E21" s="194" t="s">
        <v>24</v>
      </c>
      <c r="F21" s="197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4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7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9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6">
        <f t="shared" si="9"/>
        <v>-4828427.5390456235</v>
      </c>
      <c r="O21" s="197">
        <f t="shared" si="1"/>
        <v>0</v>
      </c>
      <c r="P21" s="207">
        <f t="shared" si="10"/>
        <v>0</v>
      </c>
      <c r="Q21" s="194">
        <f>IFERROR(VLOOKUP(A21,[1]Energiindhold!$A$2:$C$11,3,FALSE),IFERROR(VLOOKUP(A21,[1]Biogasudbytte!$A$2:$B$18,2,FALSE)*[1]Energiindhold!$C$10,0))*O21</f>
        <v>0</v>
      </c>
      <c r="R21" s="194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4">
        <f>IFERROR(VLOOKUP(A21,[1]Biogasudbytte!$A$2:$B$18,2,FALSE)*[1]Energiindhold!$C$10,0)*J21*IFERROR(VLOOKUP(A21,Biogasanlæg!$F$3:$G$8,2,FALSE),1)</f>
        <v>0</v>
      </c>
      <c r="T21" s="195">
        <f t="shared" si="11"/>
        <v>0</v>
      </c>
      <c r="U21" s="193">
        <f>O21*IFERROR(VLOOKUP(A21,[1]Tørstofindhold!A$2:B$25,2,FALSE),0)</f>
        <v>0</v>
      </c>
      <c r="V21" s="194">
        <f>IF(D21=År1,P21,SUM(O21,P21))*IFERROR(VLOOKUP(A21,[1]Tørstofindhold!A$2:B$25,2,FALSE),0)</f>
        <v>0</v>
      </c>
      <c r="W21" s="194">
        <f>J21*IFERROR(VLOOKUP(A21,[1]Tørstofindhold!A$2:B$25,2,FALSE),0)</f>
        <v>0</v>
      </c>
      <c r="X21" s="195">
        <f t="shared" si="12"/>
        <v>0</v>
      </c>
      <c r="Y21" s="173">
        <f t="shared" si="2"/>
        <v>1</v>
      </c>
      <c r="Z21" s="104">
        <f t="shared" si="3"/>
        <v>0</v>
      </c>
    </row>
    <row r="22" spans="1:26" hidden="1" x14ac:dyDescent="0.25">
      <c r="A22" s="196" t="s">
        <v>105</v>
      </c>
      <c r="B22" s="196" t="s">
        <v>242</v>
      </c>
      <c r="C22" s="196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6">
        <f t="shared" si="8"/>
        <v>2019</v>
      </c>
      <c r="E22" s="194" t="s">
        <v>24</v>
      </c>
      <c r="F22" s="197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4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7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9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6">
        <f t="shared" si="9"/>
        <v>-203061.53166372905</v>
      </c>
      <c r="O22" s="197">
        <f t="shared" si="1"/>
        <v>0</v>
      </c>
      <c r="P22" s="207">
        <f t="shared" si="10"/>
        <v>716103.75203569303</v>
      </c>
      <c r="Q22" s="194">
        <f>IFERROR(VLOOKUP(A22,[1]Energiindhold!$A$2:$C$11,3,FALSE),IFERROR(VLOOKUP(A22,[1]Biogasudbytte!$A$2:$B$18,2,FALSE)*[1]Energiindhold!$C$10,0))*O22</f>
        <v>0</v>
      </c>
      <c r="R22" s="194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4">
        <f>IFERROR(VLOOKUP(A22,[1]Biogasudbytte!$A$2:$B$18,2,FALSE)*[1]Energiindhold!$C$10,0)*J22*IFERROR(VLOOKUP(A22,Biogasanlæg!$F$3:$G$8,2,FALSE),1)</f>
        <v>2.7926735859525804</v>
      </c>
      <c r="T22" s="195">
        <f t="shared" si="11"/>
        <v>0</v>
      </c>
      <c r="U22" s="193">
        <f>O22*IFERROR(VLOOKUP(A22,[1]Tørstofindhold!A$2:B$25,2,FALSE),0)</f>
        <v>0</v>
      </c>
      <c r="V22" s="194">
        <f>IF(D22=År1,P22,SUM(O22,P22))*IFERROR(VLOOKUP(A22,[1]Tørstofindhold!A$2:B$25,2,FALSE),0)</f>
        <v>300763.57585499104</v>
      </c>
      <c r="W22" s="194">
        <f>J22*IFERROR(VLOOKUP(A22,[1]Tørstofindhold!A$2:B$25,2,FALSE),0)</f>
        <v>300763.57585499104</v>
      </c>
      <c r="X22" s="195">
        <f t="shared" si="12"/>
        <v>0</v>
      </c>
      <c r="Y22" s="173">
        <f t="shared" si="2"/>
        <v>1</v>
      </c>
      <c r="Z22" s="104">
        <f t="shared" si="3"/>
        <v>0</v>
      </c>
    </row>
    <row r="23" spans="1:26" hidden="1" x14ac:dyDescent="0.25">
      <c r="A23" s="196" t="s">
        <v>57</v>
      </c>
      <c r="B23" s="196"/>
      <c r="C23" s="196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6">
        <f t="shared" si="8"/>
        <v>2019</v>
      </c>
      <c r="E23" s="194" t="s">
        <v>24</v>
      </c>
      <c r="F23" s="197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4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7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9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6">
        <f t="shared" si="9"/>
        <v>765723.03528474667</v>
      </c>
      <c r="O23" s="197">
        <f t="shared" si="1"/>
        <v>0</v>
      </c>
      <c r="P23" s="207">
        <f t="shared" si="10"/>
        <v>0</v>
      </c>
      <c r="Q23" s="194">
        <f>IFERROR(VLOOKUP(A23,[1]Energiindhold!$A$2:$C$11,3,FALSE),IFERROR(VLOOKUP(A23,[1]Biogasudbytte!$A$2:$B$18,2,FALSE)*[1]Energiindhold!$C$10,0))*O23</f>
        <v>0</v>
      </c>
      <c r="R23" s="194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4">
        <f>IFERROR(VLOOKUP(A23,[1]Biogasudbytte!$A$2:$B$18,2,FALSE)*[1]Energiindhold!$C$10,0)*J23*IFERROR(VLOOKUP(A23,Biogasanlæg!$F$3:$G$8,2,FALSE),1)</f>
        <v>0</v>
      </c>
      <c r="T23" s="195">
        <f t="shared" si="11"/>
        <v>0</v>
      </c>
      <c r="U23" s="193">
        <f>O23*IFERROR(VLOOKUP(A23,[1]Tørstofindhold!A$2:B$25,2,FALSE),0)</f>
        <v>0</v>
      </c>
      <c r="V23" s="194">
        <f>IF(D23=År1,P23,SUM(O23,P23))*IFERROR(VLOOKUP(A23,[1]Tørstofindhold!A$2:B$25,2,FALSE),0)</f>
        <v>0</v>
      </c>
      <c r="W23" s="194">
        <f>J23*IFERROR(VLOOKUP(A23,[1]Tørstofindhold!A$2:B$25,2,FALSE),0)</f>
        <v>0</v>
      </c>
      <c r="X23" s="195">
        <f t="shared" si="12"/>
        <v>0</v>
      </c>
      <c r="Y23" s="173">
        <f t="shared" si="2"/>
        <v>0</v>
      </c>
      <c r="Z23" s="104">
        <f t="shared" si="3"/>
        <v>1</v>
      </c>
    </row>
    <row r="24" spans="1:26" x14ac:dyDescent="0.25">
      <c r="A24" s="196" t="s">
        <v>12</v>
      </c>
      <c r="B24" s="196"/>
      <c r="C24" s="196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6">
        <f t="shared" si="8"/>
        <v>2019</v>
      </c>
      <c r="E24" s="194" t="s">
        <v>24</v>
      </c>
      <c r="F24" s="197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4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7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9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6">
        <f t="shared" si="9"/>
        <v>2026381.0153085976</v>
      </c>
      <c r="O24" s="197">
        <f t="shared" si="1"/>
        <v>0</v>
      </c>
      <c r="P24" s="207">
        <f t="shared" si="10"/>
        <v>0</v>
      </c>
      <c r="Q24" s="194">
        <f>IFERROR(VLOOKUP(A24,[1]Energiindhold!$A$2:$C$11,3,FALSE),IFERROR(VLOOKUP(A24,[1]Biogasudbytte!$A$2:$B$18,2,FALSE)*[1]Energiindhold!$C$10,0))*O24</f>
        <v>0</v>
      </c>
      <c r="R24" s="194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4">
        <f>IFERROR(VLOOKUP(A24,[1]Biogasudbytte!$A$2:$B$18,2,FALSE)*[1]Energiindhold!$C$10,0)*J24*IFERROR(VLOOKUP(A24,Biogasanlæg!$F$3:$G$8,2,FALSE),1)</f>
        <v>0</v>
      </c>
      <c r="T24" s="195">
        <f t="shared" si="11"/>
        <v>0</v>
      </c>
      <c r="U24" s="193">
        <f>O24*IFERROR(VLOOKUP(A24,[1]Tørstofindhold!A$2:B$25,2,FALSE),0)</f>
        <v>0</v>
      </c>
      <c r="V24" s="194">
        <f>IF(D24=År1,P24,SUM(O24,P24))*IFERROR(VLOOKUP(A24,[1]Tørstofindhold!A$2:B$25,2,FALSE),0)</f>
        <v>0</v>
      </c>
      <c r="W24" s="194">
        <f>J24*IFERROR(VLOOKUP(A24,[1]Tørstofindhold!A$2:B$25,2,FALSE),0)</f>
        <v>0</v>
      </c>
      <c r="X24" s="195">
        <f t="shared" si="12"/>
        <v>0</v>
      </c>
      <c r="Y24" s="173">
        <f t="shared" si="2"/>
        <v>0</v>
      </c>
      <c r="Z24" s="104">
        <f t="shared" si="3"/>
        <v>1</v>
      </c>
    </row>
    <row r="25" spans="1:26" x14ac:dyDescent="0.25">
      <c r="A25" s="196" t="s">
        <v>49</v>
      </c>
      <c r="B25" s="196" t="s">
        <v>239</v>
      </c>
      <c r="C25" s="196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6">
        <f t="shared" si="8"/>
        <v>2019</v>
      </c>
      <c r="E25" s="194" t="s">
        <v>24</v>
      </c>
      <c r="F25" s="197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4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7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9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6">
        <f t="shared" si="9"/>
        <v>665604.70837060641</v>
      </c>
      <c r="O25" s="197">
        <f t="shared" si="1"/>
        <v>665604.70837060641</v>
      </c>
      <c r="P25" s="207">
        <f t="shared" si="10"/>
        <v>2840.1853290986264</v>
      </c>
      <c r="Q25" s="194">
        <f>IFERROR(VLOOKUP(A25,[1]Energiindhold!$A$2:$C$11,3,FALSE),IFERROR(VLOOKUP(A25,[1]Biogasudbytte!$A$2:$B$18,2,FALSE)*[1]Energiindhold!$C$10,0))*O25</f>
        <v>2.2796029415101553</v>
      </c>
      <c r="R25" s="194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4">
        <f>IFERROR(VLOOKUP(A25,[1]Biogasudbytte!$A$2:$B$18,2,FALSE)*[1]Energiindhold!$C$10,0)*J25*IFERROR(VLOOKUP(A25,Biogasanlæg!$F$3:$G$8,2,FALSE),1)</f>
        <v>9.7272371262167243E-3</v>
      </c>
      <c r="T25" s="195">
        <f t="shared" si="11"/>
        <v>0</v>
      </c>
      <c r="U25" s="193">
        <f>O25*IFERROR(VLOOKUP(A25,[1]Tørstofindhold!A$2:B$25,2,FALSE),0)</f>
        <v>206337.459594888</v>
      </c>
      <c r="V25" s="194">
        <f>IF(D25=År1,P25,SUM(O25,P25))*IFERROR(VLOOKUP(A25,[1]Tørstofindhold!A$2:B$25,2,FALSE),0)</f>
        <v>880.45745202057424</v>
      </c>
      <c r="W25" s="194">
        <f>J25*IFERROR(VLOOKUP(A25,[1]Tørstofindhold!A$2:B$25,2,FALSE),0)</f>
        <v>880.45745202057424</v>
      </c>
      <c r="X25" s="195">
        <f t="shared" si="12"/>
        <v>0</v>
      </c>
      <c r="Y25" s="173">
        <f t="shared" si="2"/>
        <v>0</v>
      </c>
      <c r="Z25" s="104">
        <f t="shared" si="3"/>
        <v>1</v>
      </c>
    </row>
    <row r="26" spans="1:26" hidden="1" x14ac:dyDescent="0.25">
      <c r="A26" s="196" t="s">
        <v>118</v>
      </c>
      <c r="B26" s="196"/>
      <c r="C26" s="196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6">
        <f t="shared" si="8"/>
        <v>2019</v>
      </c>
      <c r="E26" s="194" t="s">
        <v>24</v>
      </c>
      <c r="F26" s="197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4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7" t="e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#REF!</v>
      </c>
      <c r="L26" s="197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9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6" t="e">
        <f t="shared" ca="1" si="9"/>
        <v>#REF!</v>
      </c>
      <c r="O26" s="197">
        <f t="shared" si="1"/>
        <v>0</v>
      </c>
      <c r="P26" s="207">
        <f t="shared" si="10"/>
        <v>0</v>
      </c>
      <c r="Q26" s="194">
        <f>IFERROR(VLOOKUP(A26,[1]Energiindhold!$A$2:$C$11,3,FALSE),IFERROR(VLOOKUP(A26,[1]Biogasudbytte!$A$2:$B$18,2,FALSE)*[1]Energiindhold!$C$10,0))*O26</f>
        <v>0</v>
      </c>
      <c r="R26" s="194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4">
        <f>IFERROR(VLOOKUP(A26,[1]Biogasudbytte!$A$2:$B$18,2,FALSE)*[1]Energiindhold!$C$10,0)*J26*IFERROR(VLOOKUP(A26,Biogasanlæg!$F$3:$G$8,2,FALSE),1)</f>
        <v>0</v>
      </c>
      <c r="T26" s="195">
        <f t="shared" si="11"/>
        <v>0</v>
      </c>
      <c r="U26" s="193">
        <f>O26*IFERROR(VLOOKUP(A26,[1]Tørstofindhold!A$2:B$25,2,FALSE),0)</f>
        <v>0</v>
      </c>
      <c r="V26" s="194">
        <f>IF(D26=År1,P26,SUM(O26,P26))*IFERROR(VLOOKUP(A26,[1]Tørstofindhold!A$2:B$25,2,FALSE),0)</f>
        <v>0</v>
      </c>
      <c r="W26" s="194">
        <f>J26*IFERROR(VLOOKUP(A26,[1]Tørstofindhold!A$2:B$25,2,FALSE),0)</f>
        <v>0</v>
      </c>
      <c r="X26" s="195">
        <f t="shared" si="12"/>
        <v>0</v>
      </c>
      <c r="Y26" s="173" t="e">
        <f t="shared" ca="1" si="2"/>
        <v>#REF!</v>
      </c>
      <c r="Z26" s="104" t="e">
        <f t="shared" ca="1" si="3"/>
        <v>#REF!</v>
      </c>
    </row>
    <row r="27" spans="1:26" hidden="1" x14ac:dyDescent="0.25">
      <c r="A27" s="196" t="s">
        <v>142</v>
      </c>
      <c r="B27" s="196" t="s">
        <v>234</v>
      </c>
      <c r="C27" s="196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6">
        <f t="shared" si="8"/>
        <v>2019</v>
      </c>
      <c r="E27" s="194" t="s">
        <v>24</v>
      </c>
      <c r="F27" s="197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4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7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9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6">
        <f t="shared" si="9"/>
        <v>3057092.2712095287</v>
      </c>
      <c r="O27" s="197">
        <f t="shared" si="1"/>
        <v>3057092.2712095287</v>
      </c>
      <c r="P27" s="207">
        <f t="shared" si="10"/>
        <v>4066864.6068164087</v>
      </c>
      <c r="Q27" s="194">
        <f>IFERROR(VLOOKUP(A27,[1]Energiindhold!$A$2:$C$11,3,FALSE),IFERROR(VLOOKUP(A27,[1]Biogasudbytte!$A$2:$B$18,2,FALSE)*[1]Energiindhold!$C$10,0))*O27</f>
        <v>1.5474695367635516</v>
      </c>
      <c r="R27" s="194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4">
        <f>IFERROR(VLOOKUP(A27,[1]Biogasudbytte!$A$2:$B$18,2,FALSE)*[1]Energiindhold!$C$10,0)*J27*IFERROR(VLOOKUP(A27,Biogasanlæg!$F$3:$G$8,2,FALSE),1)</f>
        <v>2.0586061953243981</v>
      </c>
      <c r="T27" s="195">
        <f t="shared" si="11"/>
        <v>0</v>
      </c>
      <c r="U27" s="193">
        <f>O27*IFERROR(VLOOKUP(A27,[1]Tørstofindhold!A$2:B$25,2,FALSE),0)</f>
        <v>232339.01261192418</v>
      </c>
      <c r="V27" s="194">
        <f>IF(D27=År1,P27,SUM(O27,P27))*IFERROR(VLOOKUP(A27,[1]Tørstofindhold!A$2:B$25,2,FALSE),0)</f>
        <v>309081.71011804708</v>
      </c>
      <c r="W27" s="194">
        <f>J27*IFERROR(VLOOKUP(A27,[1]Tørstofindhold!A$2:B$25,2,FALSE),0)</f>
        <v>309081.71011804708</v>
      </c>
      <c r="X27" s="195">
        <f t="shared" si="12"/>
        <v>0</v>
      </c>
      <c r="Y27" s="173">
        <f t="shared" si="2"/>
        <v>0</v>
      </c>
      <c r="Z27" s="104">
        <f t="shared" si="3"/>
        <v>1</v>
      </c>
    </row>
    <row r="28" spans="1:26" hidden="1" x14ac:dyDescent="0.25">
      <c r="A28" s="196" t="s">
        <v>111</v>
      </c>
      <c r="B28" s="196"/>
      <c r="C28" s="196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6">
        <f t="shared" si="8"/>
        <v>2019</v>
      </c>
      <c r="E28" s="194" t="s">
        <v>24</v>
      </c>
      <c r="F28" s="197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4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7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9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6">
        <f t="shared" si="9"/>
        <v>122443.54553678865</v>
      </c>
      <c r="O28" s="197">
        <f t="shared" si="1"/>
        <v>0</v>
      </c>
      <c r="P28" s="207">
        <f t="shared" si="10"/>
        <v>0</v>
      </c>
      <c r="Q28" s="194">
        <f>IFERROR(VLOOKUP(A28,[1]Energiindhold!$A$2:$C$11,3,FALSE),IFERROR(VLOOKUP(A28,[1]Biogasudbytte!$A$2:$B$18,2,FALSE)*[1]Energiindhold!$C$10,0))*O28</f>
        <v>0</v>
      </c>
      <c r="R28" s="194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4">
        <f>IFERROR(VLOOKUP(A28,[1]Biogasudbytte!$A$2:$B$18,2,FALSE)*[1]Energiindhold!$C$10,0)*J28*IFERROR(VLOOKUP(A28,Biogasanlæg!$F$3:$G$8,2,FALSE),1)</f>
        <v>0</v>
      </c>
      <c r="T28" s="195">
        <f t="shared" si="11"/>
        <v>0</v>
      </c>
      <c r="U28" s="193">
        <f>O28*IFERROR(VLOOKUP(A28,[1]Tørstofindhold!A$2:B$25,2,FALSE),0)</f>
        <v>0</v>
      </c>
      <c r="V28" s="194">
        <f>IF(D28=År1,P28,SUM(O28,P28))*IFERROR(VLOOKUP(A28,[1]Tørstofindhold!A$2:B$25,2,FALSE),0)</f>
        <v>0</v>
      </c>
      <c r="W28" s="194">
        <f>J28*IFERROR(VLOOKUP(A28,[1]Tørstofindhold!A$2:B$25,2,FALSE),0)</f>
        <v>0</v>
      </c>
      <c r="X28" s="195">
        <f t="shared" si="12"/>
        <v>0</v>
      </c>
      <c r="Y28" s="173">
        <f t="shared" si="2"/>
        <v>0</v>
      </c>
      <c r="Z28" s="104">
        <f t="shared" si="3"/>
        <v>1</v>
      </c>
    </row>
    <row r="29" spans="1:26" hidden="1" x14ac:dyDescent="0.25">
      <c r="A29" s="194" t="s">
        <v>54</v>
      </c>
      <c r="B29" s="196" t="s">
        <v>236</v>
      </c>
      <c r="C29" s="196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6">
        <f t="shared" si="8"/>
        <v>2019</v>
      </c>
      <c r="E29" s="194" t="s">
        <v>24</v>
      </c>
      <c r="F29" s="197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4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7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9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6">
        <f t="shared" si="9"/>
        <v>1609663.314373374</v>
      </c>
      <c r="O29" s="197">
        <f t="shared" si="1"/>
        <v>1266262.2462674922</v>
      </c>
      <c r="P29" s="207">
        <f t="shared" si="10"/>
        <v>314821.43493156106</v>
      </c>
      <c r="Q29" s="194">
        <f>IFERROR(VLOOKUP(A29,[1]Energiindhold!$A$2:$C$11,3,FALSE),IFERROR(VLOOKUP(A29,[1]Biogasudbytte!$A$2:$B$18,2,FALSE)*[1]Energiindhold!$C$10,0))*O29</f>
        <v>4.5458814641002974</v>
      </c>
      <c r="R29" s="194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4">
        <f>IFERROR(VLOOKUP(A29,[1]Biogasudbytte!$A$2:$B$18,2,FALSE)*[1]Energiindhold!$C$10,0)*J29*IFERROR(VLOOKUP(A29,Biogasanlæg!$F$3:$G$8,2,FALSE),1)</f>
        <v>1.1302089514043043</v>
      </c>
      <c r="T29" s="195">
        <f t="shared" si="11"/>
        <v>0</v>
      </c>
      <c r="U29" s="193">
        <f>O29*IFERROR(VLOOKUP(A29,[1]Tørstofindhold!A$2:B$25,2,FALSE),0)</f>
        <v>379878.67388024763</v>
      </c>
      <c r="V29" s="194">
        <f>IF(D29=År1,P29,SUM(O29,P29))*IFERROR(VLOOKUP(A29,[1]Tørstofindhold!A$2:B$25,2,FALSE),0)</f>
        <v>94446.430479468312</v>
      </c>
      <c r="W29" s="194">
        <f>J29*IFERROR(VLOOKUP(A29,[1]Tørstofindhold!A$2:B$25,2,FALSE),0)</f>
        <v>94446.430479468312</v>
      </c>
      <c r="X29" s="195">
        <f t="shared" si="12"/>
        <v>0</v>
      </c>
      <c r="Y29" s="173">
        <f t="shared" si="2"/>
        <v>0</v>
      </c>
      <c r="Z29" s="104">
        <f t="shared" si="3"/>
        <v>1</v>
      </c>
    </row>
    <row r="30" spans="1:26" x14ac:dyDescent="0.25">
      <c r="A30" s="196" t="s">
        <v>119</v>
      </c>
      <c r="B30" s="196"/>
      <c r="C30" s="196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6">
        <f t="shared" si="8"/>
        <v>2019</v>
      </c>
      <c r="E30" s="194" t="s">
        <v>24</v>
      </c>
      <c r="F30" s="197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4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7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9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6">
        <f t="shared" si="9"/>
        <v>2703717.1158706988</v>
      </c>
      <c r="O30" s="197">
        <f t="shared" si="1"/>
        <v>0</v>
      </c>
      <c r="P30" s="207">
        <f t="shared" si="10"/>
        <v>0</v>
      </c>
      <c r="Q30" s="194">
        <f>IFERROR(VLOOKUP(A30,[1]Energiindhold!$A$2:$C$11,3,FALSE),IFERROR(VLOOKUP(A30,[1]Biogasudbytte!$A$2:$B$18,2,FALSE)*[1]Energiindhold!$C$10,0))*O30</f>
        <v>0</v>
      </c>
      <c r="R30" s="194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4">
        <f>IFERROR(VLOOKUP(A30,[1]Biogasudbytte!$A$2:$B$18,2,FALSE)*[1]Energiindhold!$C$10,0)*J30*IFERROR(VLOOKUP(A30,Biogasanlæg!$F$3:$G$8,2,FALSE),1)</f>
        <v>0</v>
      </c>
      <c r="T30" s="195">
        <f t="shared" si="11"/>
        <v>0</v>
      </c>
      <c r="U30" s="193">
        <f>O30*IFERROR(VLOOKUP(A30,[1]Tørstofindhold!A$2:B$25,2,FALSE),0)</f>
        <v>0</v>
      </c>
      <c r="V30" s="194">
        <f>IF(D30=År1,P30,SUM(O30,P30))*IFERROR(VLOOKUP(A30,[1]Tørstofindhold!A$2:B$25,2,FALSE),0)</f>
        <v>0</v>
      </c>
      <c r="W30" s="194">
        <f>J30*IFERROR(VLOOKUP(A30,[1]Tørstofindhold!A$2:B$25,2,FALSE),0)</f>
        <v>0</v>
      </c>
      <c r="X30" s="195">
        <f t="shared" si="12"/>
        <v>0</v>
      </c>
      <c r="Y30" s="173">
        <f t="shared" si="2"/>
        <v>0</v>
      </c>
      <c r="Z30" s="104">
        <f t="shared" si="3"/>
        <v>1</v>
      </c>
    </row>
    <row r="31" spans="1:26" hidden="1" x14ac:dyDescent="0.25">
      <c r="A31" s="196" t="s">
        <v>109</v>
      </c>
      <c r="B31" s="196" t="s">
        <v>238</v>
      </c>
      <c r="C31" s="196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6">
        <f t="shared" si="8"/>
        <v>2019</v>
      </c>
      <c r="E31" s="194" t="s">
        <v>24</v>
      </c>
      <c r="F31" s="197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4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7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9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6">
        <f t="shared" si="9"/>
        <v>878.90231344976189</v>
      </c>
      <c r="O31" s="197">
        <f t="shared" si="1"/>
        <v>878.90231344976189</v>
      </c>
      <c r="P31" s="207">
        <f t="shared" si="10"/>
        <v>0</v>
      </c>
      <c r="Q31" s="194">
        <f>IFERROR(VLOOKUP(A31,[1]Energiindhold!$A$2:$C$11,3,FALSE),IFERROR(VLOOKUP(A31,[1]Biogasudbytte!$A$2:$B$18,2,FALSE)*[1]Energiindhold!$C$10,0))*O31</f>
        <v>7.8881482632116133E-4</v>
      </c>
      <c r="R31" s="194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4">
        <f>IFERROR(VLOOKUP(A31,[1]Biogasudbytte!$A$2:$B$18,2,FALSE)*[1]Energiindhold!$C$10,0)*J31*IFERROR(VLOOKUP(A31,Biogasanlæg!$F$3:$G$8,2,FALSE),1)</f>
        <v>0</v>
      </c>
      <c r="T31" s="195">
        <f t="shared" si="11"/>
        <v>0</v>
      </c>
      <c r="U31" s="193">
        <f>O31*IFERROR(VLOOKUP(A31,[1]Tørstofindhold!A$2:B$25,2,FALSE),0)</f>
        <v>131.83534701746427</v>
      </c>
      <c r="V31" s="194">
        <f>IF(D31=År1,P31,SUM(O31,P31))*IFERROR(VLOOKUP(A31,[1]Tørstofindhold!A$2:B$25,2,FALSE),0)</f>
        <v>0</v>
      </c>
      <c r="W31" s="194">
        <f>J31*IFERROR(VLOOKUP(A31,[1]Tørstofindhold!A$2:B$25,2,FALSE),0)</f>
        <v>0</v>
      </c>
      <c r="X31" s="195">
        <f t="shared" si="12"/>
        <v>0</v>
      </c>
      <c r="Y31" s="173">
        <f t="shared" si="2"/>
        <v>0</v>
      </c>
      <c r="Z31" s="104">
        <f t="shared" si="3"/>
        <v>1</v>
      </c>
    </row>
    <row r="32" spans="1:26" x14ac:dyDescent="0.25">
      <c r="A32" s="196" t="s">
        <v>14</v>
      </c>
      <c r="B32" s="196"/>
      <c r="C32" s="196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6">
        <f t="shared" si="8"/>
        <v>2019</v>
      </c>
      <c r="E32" s="194" t="s">
        <v>24</v>
      </c>
      <c r="F32" s="197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4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7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9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6">
        <f t="shared" si="9"/>
        <v>50014.542046090508</v>
      </c>
      <c r="O32" s="197">
        <f t="shared" si="1"/>
        <v>0</v>
      </c>
      <c r="P32" s="207">
        <f t="shared" si="10"/>
        <v>0</v>
      </c>
      <c r="Q32" s="194">
        <f>IFERROR(VLOOKUP(A32,[1]Energiindhold!$A$2:$C$11,3,FALSE),IFERROR(VLOOKUP(A32,[1]Biogasudbytte!$A$2:$B$18,2,FALSE)*[1]Energiindhold!$C$10,0))*O32</f>
        <v>0</v>
      </c>
      <c r="R32" s="194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4">
        <f>IFERROR(VLOOKUP(A32,[1]Biogasudbytte!$A$2:$B$18,2,FALSE)*[1]Energiindhold!$C$10,0)*J32*IFERROR(VLOOKUP(A32,Biogasanlæg!$F$3:$G$8,2,FALSE),1)</f>
        <v>0</v>
      </c>
      <c r="T32" s="195">
        <f t="shared" si="11"/>
        <v>0</v>
      </c>
      <c r="U32" s="193">
        <f>O32*IFERROR(VLOOKUP(A32,[1]Tørstofindhold!A$2:B$25,2,FALSE),0)</f>
        <v>0</v>
      </c>
      <c r="V32" s="194">
        <f>IF(D32=År1,P32,SUM(O32,P32))*IFERROR(VLOOKUP(A32,[1]Tørstofindhold!A$2:B$25,2,FALSE),0)</f>
        <v>0</v>
      </c>
      <c r="W32" s="194">
        <f>J32*IFERROR(VLOOKUP(A32,[1]Tørstofindhold!A$2:B$25,2,FALSE),0)</f>
        <v>0</v>
      </c>
      <c r="X32" s="195">
        <f t="shared" si="12"/>
        <v>0</v>
      </c>
      <c r="Y32" s="173">
        <f t="shared" si="2"/>
        <v>0</v>
      </c>
      <c r="Z32" s="104">
        <f t="shared" si="3"/>
        <v>1</v>
      </c>
    </row>
    <row r="33" spans="1:26" hidden="1" x14ac:dyDescent="0.25">
      <c r="A33" s="196" t="s">
        <v>56</v>
      </c>
      <c r="B33" s="196"/>
      <c r="C33" s="196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6">
        <f t="shared" si="8"/>
        <v>2019</v>
      </c>
      <c r="E33" s="194" t="s">
        <v>24</v>
      </c>
      <c r="F33" s="197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4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7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9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6">
        <f t="shared" si="9"/>
        <v>1609044.2994914718</v>
      </c>
      <c r="O33" s="197">
        <f t="shared" si="1"/>
        <v>0</v>
      </c>
      <c r="P33" s="207">
        <f t="shared" si="10"/>
        <v>0</v>
      </c>
      <c r="Q33" s="194">
        <f>IFERROR(VLOOKUP(A33,[1]Energiindhold!$A$2:$C$11,3,FALSE),IFERROR(VLOOKUP(A33,[1]Biogasudbytte!$A$2:$B$18,2,FALSE)*[1]Energiindhold!$C$10,0))*O33</f>
        <v>0</v>
      </c>
      <c r="R33" s="194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4">
        <f>IFERROR(VLOOKUP(A33,[1]Biogasudbytte!$A$2:$B$18,2,FALSE)*[1]Energiindhold!$C$10,0)*J33*IFERROR(VLOOKUP(A33,Biogasanlæg!$F$3:$G$8,2,FALSE),1)</f>
        <v>0</v>
      </c>
      <c r="T33" s="195">
        <f t="shared" si="11"/>
        <v>0</v>
      </c>
      <c r="U33" s="193">
        <f>O33*IFERROR(VLOOKUP(A33,[1]Tørstofindhold!A$2:B$25,2,FALSE),0)</f>
        <v>0</v>
      </c>
      <c r="V33" s="194">
        <f>IF(D33=År1,P33,SUM(O33,P33))*IFERROR(VLOOKUP(A33,[1]Tørstofindhold!A$2:B$25,2,FALSE),0)</f>
        <v>0</v>
      </c>
      <c r="W33" s="194">
        <f>J33*IFERROR(VLOOKUP(A33,[1]Tørstofindhold!A$2:B$25,2,FALSE),0)</f>
        <v>0</v>
      </c>
      <c r="X33" s="195">
        <f t="shared" si="12"/>
        <v>0</v>
      </c>
      <c r="Y33" s="173">
        <f t="shared" si="2"/>
        <v>0</v>
      </c>
      <c r="Z33" s="104">
        <f t="shared" si="3"/>
        <v>1</v>
      </c>
    </row>
    <row r="34" spans="1:26" hidden="1" x14ac:dyDescent="0.25">
      <c r="A34" s="196" t="s">
        <v>97</v>
      </c>
      <c r="B34" s="196" t="s">
        <v>237</v>
      </c>
      <c r="C34" s="196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6">
        <f t="shared" si="8"/>
        <v>2019</v>
      </c>
      <c r="E34" s="194" t="s">
        <v>24</v>
      </c>
      <c r="F34" s="197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4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7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9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6">
        <f t="shared" si="9"/>
        <v>0</v>
      </c>
      <c r="O34" s="197">
        <f t="shared" si="1"/>
        <v>0</v>
      </c>
      <c r="P34" s="207">
        <f t="shared" si="10"/>
        <v>172205.06744997756</v>
      </c>
      <c r="Q34" s="194">
        <f>IFERROR(VLOOKUP(A34,[1]Energiindhold!$A$2:$C$11,3,FALSE),IFERROR(VLOOKUP(A34,[1]Biogasudbytte!$A$2:$B$18,2,FALSE)*[1]Energiindhold!$C$10,0))*O34</f>
        <v>0</v>
      </c>
      <c r="R34" s="194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4">
        <f>IFERROR(VLOOKUP(A34,[1]Biogasudbytte!$A$2:$B$18,2,FALSE)*[1]Energiindhold!$C$10,0)*J34*IFERROR(VLOOKUP(A34,Biogasanlæg!$F$3:$G$8,2,FALSE),1)</f>
        <v>0</v>
      </c>
      <c r="T34" s="195">
        <f t="shared" si="11"/>
        <v>3.1685732410795864</v>
      </c>
      <c r="U34" s="193">
        <f>O34*IFERROR(VLOOKUP(A34,[1]Tørstofindhold!A$2:B$25,2,FALSE),0)</f>
        <v>0</v>
      </c>
      <c r="V34" s="194">
        <f>IF(D34=År1,P34,SUM(O34,P34))*IFERROR(VLOOKUP(A34,[1]Tørstofindhold!A$2:B$25,2,FALSE),0)</f>
        <v>71465.1029917407</v>
      </c>
      <c r="W34" s="194">
        <f>J34*IFERROR(VLOOKUP(A34,[1]Tørstofindhold!A$2:B$25,2,FALSE),0)</f>
        <v>0</v>
      </c>
      <c r="X34" s="195">
        <f t="shared" si="12"/>
        <v>71465.1029917407</v>
      </c>
      <c r="Y34" s="173">
        <f t="shared" si="2"/>
        <v>0</v>
      </c>
      <c r="Z34" s="104">
        <f t="shared" si="3"/>
        <v>0</v>
      </c>
    </row>
    <row r="35" spans="1:26" hidden="1" x14ac:dyDescent="0.25">
      <c r="A35" s="196" t="s">
        <v>336</v>
      </c>
      <c r="B35" s="196" t="s">
        <v>342</v>
      </c>
      <c r="C35" s="196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6">
        <f t="shared" si="8"/>
        <v>2019</v>
      </c>
      <c r="E35" s="194" t="s">
        <v>24</v>
      </c>
      <c r="F35" s="197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4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7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9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6">
        <f t="shared" ref="N35:N36" si="13">F35-SUM(G35:M35)</f>
        <v>0</v>
      </c>
      <c r="O35" s="197">
        <f t="shared" si="1"/>
        <v>0</v>
      </c>
      <c r="P35" s="207">
        <f t="shared" ref="P35:P36" si="14">SUM(J35,L35)</f>
        <v>0</v>
      </c>
      <c r="Q35" s="194">
        <f>IFERROR(VLOOKUP(A35,[1]Energiindhold!$A$2:$C$11,3,FALSE),IFERROR(VLOOKUP(A35,[1]Biogasudbytte!$A$2:$B$18,2,FALSE)*[1]Energiindhold!$C$10,0))*O35</f>
        <v>0</v>
      </c>
      <c r="R35" s="194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4">
        <f>IFERROR(VLOOKUP(A35,[1]Biogasudbytte!$A$2:$B$18,2,FALSE)*[1]Energiindhold!$C$10,0)*J35*IFERROR(VLOOKUP(A35,Biogasanlæg!$F$3:$G$8,2,FALSE),1)</f>
        <v>0</v>
      </c>
      <c r="T35" s="195">
        <f t="shared" ref="T35:T36" si="15">R35-S35</f>
        <v>0</v>
      </c>
      <c r="U35" s="193">
        <f>O35*IFERROR(VLOOKUP(A35,[1]Tørstofindhold!A$2:B$25,2,FALSE),0)</f>
        <v>0</v>
      </c>
      <c r="V35" s="194">
        <f>IF(D35=År1,P35,SUM(O35,P35))*IFERROR(VLOOKUP(A35,[1]Tørstofindhold!A$2:B$25,2,FALSE),0)</f>
        <v>0</v>
      </c>
      <c r="W35" s="194">
        <f>J35*IFERROR(VLOOKUP(A35,[1]Tørstofindhold!A$2:B$25,2,FALSE),0)</f>
        <v>0</v>
      </c>
      <c r="X35" s="195">
        <f t="shared" ref="X35:X36" si="16">V35-W35</f>
        <v>0</v>
      </c>
      <c r="Y35" s="173">
        <f t="shared" si="2"/>
        <v>0</v>
      </c>
      <c r="Z35" s="104">
        <f t="shared" si="3"/>
        <v>0</v>
      </c>
    </row>
    <row r="36" spans="1:26" hidden="1" x14ac:dyDescent="0.25">
      <c r="A36" s="196" t="s">
        <v>337</v>
      </c>
      <c r="B36" s="196" t="s">
        <v>342</v>
      </c>
      <c r="C36" s="196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6">
        <f t="shared" si="8"/>
        <v>2019</v>
      </c>
      <c r="E36" s="194" t="s">
        <v>24</v>
      </c>
      <c r="F36" s="197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4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7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9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6">
        <f t="shared" si="13"/>
        <v>0</v>
      </c>
      <c r="O36" s="197">
        <f t="shared" si="1"/>
        <v>0</v>
      </c>
      <c r="P36" s="207">
        <f t="shared" si="14"/>
        <v>0</v>
      </c>
      <c r="Q36" s="194">
        <f>IFERROR(VLOOKUP(A36,[1]Energiindhold!$A$2:$C$11,3,FALSE),IFERROR(VLOOKUP(A36,[1]Biogasudbytte!$A$2:$B$18,2,FALSE)*[1]Energiindhold!$C$10,0))*O36</f>
        <v>0</v>
      </c>
      <c r="R36" s="194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4">
        <f>IFERROR(VLOOKUP(A36,[1]Biogasudbytte!$A$2:$B$18,2,FALSE)*[1]Energiindhold!$C$10,0)*J36*IFERROR(VLOOKUP(A36,Biogasanlæg!$F$3:$G$8,2,FALSE),1)</f>
        <v>0</v>
      </c>
      <c r="T36" s="195">
        <f t="shared" si="15"/>
        <v>0</v>
      </c>
      <c r="U36" s="193">
        <f>O36*IFERROR(VLOOKUP(A36,[1]Tørstofindhold!A$2:B$25,2,FALSE),0)</f>
        <v>0</v>
      </c>
      <c r="V36" s="194">
        <f>IF(D36=År1,P36,SUM(O36,P36))*IFERROR(VLOOKUP(A36,[1]Tørstofindhold!A$2:B$25,2,FALSE),0)</f>
        <v>0</v>
      </c>
      <c r="W36" s="194">
        <f>J36*IFERROR(VLOOKUP(A36,[1]Tørstofindhold!A$2:B$25,2,FALSE),0)</f>
        <v>0</v>
      </c>
      <c r="X36" s="195">
        <f t="shared" si="16"/>
        <v>0</v>
      </c>
      <c r="Y36" s="173">
        <f t="shared" si="2"/>
        <v>0</v>
      </c>
      <c r="Z36" s="104">
        <f t="shared" si="3"/>
        <v>0</v>
      </c>
    </row>
    <row r="37" spans="1:26" hidden="1" x14ac:dyDescent="0.25">
      <c r="A37" s="196" t="s">
        <v>120</v>
      </c>
      <c r="B37" s="196"/>
      <c r="C37" s="196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6">
        <f t="shared" si="8"/>
        <v>2019</v>
      </c>
      <c r="E37" s="194" t="s">
        <v>24</v>
      </c>
      <c r="F37" s="197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4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7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9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6">
        <f t="shared" si="9"/>
        <v>4922001.9803787302</v>
      </c>
      <c r="O37" s="197">
        <f t="shared" si="1"/>
        <v>0</v>
      </c>
      <c r="P37" s="207">
        <f t="shared" si="10"/>
        <v>0</v>
      </c>
      <c r="Q37" s="194">
        <f>IFERROR(VLOOKUP(A37,[1]Energiindhold!$A$2:$C$11,3,FALSE),IFERROR(VLOOKUP(A37,[1]Biogasudbytte!$A$2:$B$18,2,FALSE)*[1]Energiindhold!$C$10,0))*O37</f>
        <v>0</v>
      </c>
      <c r="R37" s="194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4">
        <f>IFERROR(VLOOKUP(A37,[1]Biogasudbytte!$A$2:$B$18,2,FALSE)*[1]Energiindhold!$C$10,0)*J37*IFERROR(VLOOKUP(A37,Biogasanlæg!$F$3:$G$8,2,FALSE),1)</f>
        <v>0</v>
      </c>
      <c r="T37" s="195">
        <f t="shared" si="11"/>
        <v>0</v>
      </c>
      <c r="U37" s="193">
        <f>O37*IFERROR(VLOOKUP(A37,[1]Tørstofindhold!A$2:B$25,2,FALSE),0)</f>
        <v>0</v>
      </c>
      <c r="V37" s="194">
        <f>IF(D37=År1,P37,SUM(O37,P37))*IFERROR(VLOOKUP(A37,[1]Tørstofindhold!A$2:B$25,2,FALSE),0)</f>
        <v>0</v>
      </c>
      <c r="W37" s="194">
        <f>J37*IFERROR(VLOOKUP(A37,[1]Tørstofindhold!A$2:B$25,2,FALSE),0)</f>
        <v>0</v>
      </c>
      <c r="X37" s="195">
        <f t="shared" si="12"/>
        <v>0</v>
      </c>
      <c r="Y37" s="173">
        <f t="shared" si="2"/>
        <v>0</v>
      </c>
      <c r="Z37" s="104">
        <f t="shared" si="3"/>
        <v>1</v>
      </c>
    </row>
    <row r="38" spans="1:26" hidden="1" x14ac:dyDescent="0.25">
      <c r="A38" s="194" t="s">
        <v>51</v>
      </c>
      <c r="B38" s="196"/>
      <c r="C38" s="196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6">
        <f t="shared" si="8"/>
        <v>2019</v>
      </c>
      <c r="E38" s="194" t="s">
        <v>24</v>
      </c>
      <c r="F38" s="197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4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7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9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6">
        <f t="shared" si="9"/>
        <v>0</v>
      </c>
      <c r="O38" s="197">
        <f t="shared" si="1"/>
        <v>0</v>
      </c>
      <c r="P38" s="207">
        <f t="shared" si="10"/>
        <v>0</v>
      </c>
      <c r="Q38" s="194">
        <f>IFERROR(VLOOKUP(A38,[1]Energiindhold!$A$2:$C$11,3,FALSE),IFERROR(VLOOKUP(A38,[1]Biogasudbytte!$A$2:$B$18,2,FALSE)*[1]Energiindhold!$C$10,0))*O38</f>
        <v>0</v>
      </c>
      <c r="R38" s="194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4">
        <f>IFERROR(VLOOKUP(A38,[1]Biogasudbytte!$A$2:$B$18,2,FALSE)*[1]Energiindhold!$C$10,0)*J38*IFERROR(VLOOKUP(A38,Biogasanlæg!$F$3:$G$8,2,FALSE),1)</f>
        <v>0</v>
      </c>
      <c r="T38" s="195">
        <f t="shared" si="11"/>
        <v>0</v>
      </c>
      <c r="U38" s="193">
        <f>O38*IFERROR(VLOOKUP(A38,[1]Tørstofindhold!A$2:B$25,2,FALSE),0)</f>
        <v>0</v>
      </c>
      <c r="V38" s="194">
        <f>IF(D38=År1,P38,SUM(O38,P38))*IFERROR(VLOOKUP(A38,[1]Tørstofindhold!A$2:B$25,2,FALSE),0)</f>
        <v>0</v>
      </c>
      <c r="W38" s="194">
        <f>J38*IFERROR(VLOOKUP(A38,[1]Tørstofindhold!A$2:B$25,2,FALSE),0)</f>
        <v>0</v>
      </c>
      <c r="X38" s="195">
        <f t="shared" si="12"/>
        <v>0</v>
      </c>
      <c r="Y38" s="173">
        <f t="shared" si="2"/>
        <v>0</v>
      </c>
      <c r="Z38" s="104">
        <f t="shared" si="3"/>
        <v>0</v>
      </c>
    </row>
    <row r="39" spans="1:26" hidden="1" x14ac:dyDescent="0.25">
      <c r="A39" s="194" t="s">
        <v>250</v>
      </c>
      <c r="B39" s="196"/>
      <c r="C39" s="196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6">
        <f t="shared" si="8"/>
        <v>2019</v>
      </c>
      <c r="E39" s="194" t="s">
        <v>24</v>
      </c>
      <c r="F39" s="197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4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7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9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6">
        <f t="shared" si="9"/>
        <v>28317.736356098671</v>
      </c>
      <c r="O39" s="197">
        <f t="shared" si="1"/>
        <v>0</v>
      </c>
      <c r="P39" s="207">
        <f t="shared" si="10"/>
        <v>0</v>
      </c>
      <c r="Q39" s="194">
        <f>IFERROR(VLOOKUP(A39,[1]Energiindhold!$A$2:$C$11,3,FALSE),IFERROR(VLOOKUP(A39,[1]Biogasudbytte!$A$2:$B$18,2,FALSE)*[1]Energiindhold!$C$10,0))*O39</f>
        <v>0</v>
      </c>
      <c r="R39" s="194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4">
        <f>IFERROR(VLOOKUP(A39,[1]Biogasudbytte!$A$2:$B$18,2,FALSE)*[1]Energiindhold!$C$10,0)*J39*IFERROR(VLOOKUP(A39,Biogasanlæg!$F$3:$G$8,2,FALSE),1)</f>
        <v>0</v>
      </c>
      <c r="T39" s="195">
        <f t="shared" si="11"/>
        <v>0</v>
      </c>
      <c r="U39" s="193">
        <f>O39*IFERROR(VLOOKUP(A39,[1]Tørstofindhold!A$2:B$25,2,FALSE),0)</f>
        <v>0</v>
      </c>
      <c r="V39" s="194">
        <f>IF(D39=År1,P39,SUM(O39,P39))*IFERROR(VLOOKUP(A39,[1]Tørstofindhold!A$2:B$25,2,FALSE),0)</f>
        <v>0</v>
      </c>
      <c r="W39" s="194">
        <f>J39*IFERROR(VLOOKUP(A39,[1]Tørstofindhold!A$2:B$25,2,FALSE),0)</f>
        <v>0</v>
      </c>
      <c r="X39" s="195">
        <f t="shared" si="12"/>
        <v>0</v>
      </c>
      <c r="Y39" s="173">
        <f t="shared" si="2"/>
        <v>0</v>
      </c>
      <c r="Z39" s="104">
        <f t="shared" si="3"/>
        <v>1</v>
      </c>
    </row>
    <row r="40" spans="1:26" hidden="1" x14ac:dyDescent="0.25">
      <c r="A40" s="194" t="s">
        <v>243</v>
      </c>
      <c r="B40" s="196" t="s">
        <v>243</v>
      </c>
      <c r="C40" s="196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6">
        <f t="shared" si="8"/>
        <v>2019</v>
      </c>
      <c r="E40" s="194" t="s">
        <v>24</v>
      </c>
      <c r="F40" s="197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4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7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155146.779166311</v>
      </c>
      <c r="M40" s="159">
        <f>SUMIFS('Forbrug af biomasse'!E:E,'Forbrug af biomasse'!C:C,'Resultat-Produktion &amp; forbrug'!$A40,'Forbrug af biomasse'!D:D,'Resultat-Produktion &amp; forbrug'!$D40,'Forbrug af biomasse'!G:G,1,'Forbrug af biomasse'!B:B,$E40)</f>
        <v>0</v>
      </c>
      <c r="N40" s="206">
        <f t="shared" si="9"/>
        <v>0</v>
      </c>
      <c r="O40" s="197">
        <f t="shared" si="1"/>
        <v>0</v>
      </c>
      <c r="P40" s="207">
        <f t="shared" si="10"/>
        <v>155146.779166311</v>
      </c>
      <c r="Q40" s="194">
        <f>IFERROR(VLOOKUP(A40,[1]Energiindhold!$A$2:$C$11,3,FALSE),IFERROR(VLOOKUP(A40,[1]Biogasudbytte!$A$2:$B$18,2,FALSE)*[1]Energiindhold!$C$10,0))*O40</f>
        <v>0</v>
      </c>
      <c r="R40" s="194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5.4301372708208842</v>
      </c>
      <c r="S40" s="194">
        <f>IFERROR(VLOOKUP(A40,[1]Biogasudbytte!$A$2:$B$18,2,FALSE)*[1]Energiindhold!$C$10,0)*J40*IFERROR(VLOOKUP(A40,Biogasanlæg!$F$3:$G$8,2,FALSE),1)</f>
        <v>0</v>
      </c>
      <c r="T40" s="195">
        <f t="shared" si="11"/>
        <v>5.4301372708208842</v>
      </c>
      <c r="U40" s="193">
        <f>O40*IFERROR(VLOOKUP(A40,[1]Tørstofindhold!A$2:B$25,2,FALSE),0)</f>
        <v>0</v>
      </c>
      <c r="V40" s="194">
        <f>IF(D40=År1,P40,SUM(O40,P40))*IFERROR(VLOOKUP(A40,[1]Tørstofindhold!A$2:B$25,2,FALSE),0)</f>
        <v>141183.569041343</v>
      </c>
      <c r="W40" s="194">
        <f>J40*IFERROR(VLOOKUP(A40,[1]Tørstofindhold!A$2:B$25,2,FALSE),0)</f>
        <v>0</v>
      </c>
      <c r="X40" s="195">
        <f t="shared" si="12"/>
        <v>141183.569041343</v>
      </c>
      <c r="Y40" s="173">
        <f t="shared" si="2"/>
        <v>0</v>
      </c>
      <c r="Z40" s="104">
        <f t="shared" si="3"/>
        <v>0</v>
      </c>
    </row>
    <row r="41" spans="1:26" hidden="1" x14ac:dyDescent="0.25">
      <c r="A41" s="194" t="s">
        <v>53</v>
      </c>
      <c r="B41" s="196" t="s">
        <v>236</v>
      </c>
      <c r="C41" s="196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6">
        <f t="shared" si="8"/>
        <v>2019</v>
      </c>
      <c r="E41" s="194" t="s">
        <v>24</v>
      </c>
      <c r="F41" s="197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4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7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9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6">
        <f t="shared" si="9"/>
        <v>-468819.27146385383</v>
      </c>
      <c r="O41" s="197">
        <f t="shared" si="1"/>
        <v>0</v>
      </c>
      <c r="P41" s="207">
        <f t="shared" si="10"/>
        <v>4101.0489241972273</v>
      </c>
      <c r="Q41" s="194">
        <f>IFERROR(VLOOKUP(A41,[1]Energiindhold!$A$2:$C$11,3,FALSE),IFERROR(VLOOKUP(A41,[1]Biogasudbytte!$A$2:$B$18,2,FALSE)*[1]Energiindhold!$C$10,0))*O41</f>
        <v>0</v>
      </c>
      <c r="R41" s="194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4">
        <f>IFERROR(VLOOKUP(A41,[1]Biogasudbytte!$A$2:$B$18,2,FALSE)*[1]Energiindhold!$C$10,0)*J41*IFERROR(VLOOKUP(A41,Biogasanlæg!$F$3:$G$8,2,FALSE),1)</f>
        <v>1.1130410822228242E-2</v>
      </c>
      <c r="T41" s="195">
        <f t="shared" si="11"/>
        <v>0</v>
      </c>
      <c r="U41" s="193">
        <f>O41*IFERROR(VLOOKUP(A41,[1]Tørstofindhold!A$2:B$25,2,FALSE),0)</f>
        <v>0</v>
      </c>
      <c r="V41" s="194">
        <f>IF(D41=År1,P41,SUM(O41,P41))*IFERROR(VLOOKUP(A41,[1]Tørstofindhold!A$2:B$25,2,FALSE),0)</f>
        <v>820.20978483944555</v>
      </c>
      <c r="W41" s="194">
        <f>J41*IFERROR(VLOOKUP(A41,[1]Tørstofindhold!A$2:B$25,2,FALSE),0)</f>
        <v>820.20978483944555</v>
      </c>
      <c r="X41" s="195">
        <f t="shared" si="12"/>
        <v>0</v>
      </c>
      <c r="Y41" s="173">
        <f t="shared" si="2"/>
        <v>0</v>
      </c>
      <c r="Z41" s="104">
        <f t="shared" si="3"/>
        <v>1</v>
      </c>
    </row>
    <row r="42" spans="1:26" hidden="1" x14ac:dyDescent="0.25">
      <c r="A42" s="194" t="s">
        <v>124</v>
      </c>
      <c r="B42" s="196"/>
      <c r="C42" s="196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6">
        <f t="shared" si="8"/>
        <v>2019</v>
      </c>
      <c r="E42" s="194" t="s">
        <v>24</v>
      </c>
      <c r="F42" s="197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4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7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9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6">
        <f t="shared" si="9"/>
        <v>193830.89221723122</v>
      </c>
      <c r="O42" s="197">
        <f t="shared" si="1"/>
        <v>0</v>
      </c>
      <c r="P42" s="207">
        <f t="shared" si="10"/>
        <v>0</v>
      </c>
      <c r="Q42" s="194">
        <f>IFERROR(VLOOKUP(A42,[1]Energiindhold!$A$2:$C$11,3,FALSE),IFERROR(VLOOKUP(A42,[1]Biogasudbytte!$A$2:$B$18,2,FALSE)*[1]Energiindhold!$C$10,0))*O42</f>
        <v>0</v>
      </c>
      <c r="R42" s="194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4">
        <f>IFERROR(VLOOKUP(A42,[1]Biogasudbytte!$A$2:$B$18,2,FALSE)*[1]Energiindhold!$C$10,0)*J42*IFERROR(VLOOKUP(A42,Biogasanlæg!$F$3:$G$8,2,FALSE),1)</f>
        <v>0</v>
      </c>
      <c r="T42" s="195">
        <f t="shared" si="11"/>
        <v>0</v>
      </c>
      <c r="U42" s="193">
        <f>O42*IFERROR(VLOOKUP(A42,[1]Tørstofindhold!A$2:B$25,2,FALSE),0)</f>
        <v>0</v>
      </c>
      <c r="V42" s="194">
        <f>IF(D42=År1,P42,SUM(O42,P42))*IFERROR(VLOOKUP(A42,[1]Tørstofindhold!A$2:B$25,2,FALSE),0)</f>
        <v>0</v>
      </c>
      <c r="W42" s="194">
        <f>J42*IFERROR(VLOOKUP(A42,[1]Tørstofindhold!A$2:B$25,2,FALSE),0)</f>
        <v>0</v>
      </c>
      <c r="X42" s="195">
        <f t="shared" si="12"/>
        <v>0</v>
      </c>
      <c r="Y42" s="173">
        <f t="shared" si="2"/>
        <v>0</v>
      </c>
      <c r="Z42" s="104">
        <f t="shared" si="3"/>
        <v>1</v>
      </c>
    </row>
    <row r="43" spans="1:26" hidden="1" x14ac:dyDescent="0.25">
      <c r="A43" s="194" t="s">
        <v>110</v>
      </c>
      <c r="B43" s="196"/>
      <c r="C43" s="196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6">
        <f t="shared" si="8"/>
        <v>2019</v>
      </c>
      <c r="E43" s="194" t="s">
        <v>24</v>
      </c>
      <c r="F43" s="197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4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7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9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6">
        <f t="shared" si="9"/>
        <v>91860.340866184866</v>
      </c>
      <c r="O43" s="197">
        <f t="shared" si="1"/>
        <v>0</v>
      </c>
      <c r="P43" s="207">
        <f t="shared" si="10"/>
        <v>0</v>
      </c>
      <c r="Q43" s="194">
        <f>IFERROR(VLOOKUP(A43,[1]Energiindhold!$A$2:$C$11,3,FALSE),IFERROR(VLOOKUP(A43,[1]Biogasudbytte!$A$2:$B$18,2,FALSE)*[1]Energiindhold!$C$10,0))*O43</f>
        <v>0</v>
      </c>
      <c r="R43" s="194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4">
        <f>IFERROR(VLOOKUP(A43,[1]Biogasudbytte!$A$2:$B$18,2,FALSE)*[1]Energiindhold!$C$10,0)*J43*IFERROR(VLOOKUP(A43,Biogasanlæg!$F$3:$G$8,2,FALSE),1)</f>
        <v>0</v>
      </c>
      <c r="T43" s="195">
        <f t="shared" si="11"/>
        <v>0</v>
      </c>
      <c r="U43" s="193">
        <f>O43*IFERROR(VLOOKUP(A43,[1]Tørstofindhold!A$2:B$25,2,FALSE),0)</f>
        <v>0</v>
      </c>
      <c r="V43" s="194">
        <f>IF(D43=År1,P43,SUM(O43,P43))*IFERROR(VLOOKUP(A43,[1]Tørstofindhold!A$2:B$25,2,FALSE),0)</f>
        <v>0</v>
      </c>
      <c r="W43" s="194">
        <f>J43*IFERROR(VLOOKUP(A43,[1]Tørstofindhold!A$2:B$25,2,FALSE),0)</f>
        <v>0</v>
      </c>
      <c r="X43" s="195">
        <f t="shared" si="12"/>
        <v>0</v>
      </c>
      <c r="Y43" s="173">
        <f t="shared" si="2"/>
        <v>0</v>
      </c>
      <c r="Z43" s="104">
        <f t="shared" si="3"/>
        <v>1</v>
      </c>
    </row>
    <row r="44" spans="1:26" hidden="1" x14ac:dyDescent="0.25">
      <c r="A44" s="196" t="s">
        <v>146</v>
      </c>
      <c r="B44" s="196" t="s">
        <v>242</v>
      </c>
      <c r="C44" s="196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6">
        <f t="shared" si="8"/>
        <v>2019</v>
      </c>
      <c r="E44" s="194" t="s">
        <v>24</v>
      </c>
      <c r="F44" s="197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4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7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9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6">
        <f t="shared" si="9"/>
        <v>2390013.9527756004</v>
      </c>
      <c r="O44" s="197">
        <f t="shared" si="1"/>
        <v>2390013.9527756004</v>
      </c>
      <c r="P44" s="207">
        <f t="shared" si="10"/>
        <v>1460182.5874658169</v>
      </c>
      <c r="Q44" s="194">
        <f>IFERROR(VLOOKUP(A44,[1]Energiindhold!$A$2:$C$11,3,FALSE),IFERROR(VLOOKUP(A44,[1]Biogasudbytte!$A$2:$B$18,2,FALSE)*[1]Energiindhold!$C$10,0))*O44</f>
        <v>1.1926408625745526</v>
      </c>
      <c r="R44" s="194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4">
        <f>IFERROR(VLOOKUP(A44,[1]Biogasudbytte!$A$2:$B$18,2,FALSE)*[1]Energiindhold!$C$10,0)*J44*IFERROR(VLOOKUP(A44,Biogasanlæg!$F$3:$G$8,2,FALSE),1)</f>
        <v>0.72864571297131742</v>
      </c>
      <c r="T44" s="195">
        <f t="shared" si="11"/>
        <v>0</v>
      </c>
      <c r="U44" s="193">
        <f>O44*IFERROR(VLOOKUP(A44,[1]Tørstofindhold!A$2:B$25,2,FALSE),0)</f>
        <v>143400.83716653602</v>
      </c>
      <c r="V44" s="194">
        <f>IF(D44=År1,P44,SUM(O44,P44))*IFERROR(VLOOKUP(A44,[1]Tørstofindhold!A$2:B$25,2,FALSE),0)</f>
        <v>87610.955247949008</v>
      </c>
      <c r="W44" s="194">
        <f>J44*IFERROR(VLOOKUP(A44,[1]Tørstofindhold!A$2:B$25,2,FALSE),0)</f>
        <v>87610.955247949008</v>
      </c>
      <c r="X44" s="195">
        <f t="shared" si="12"/>
        <v>0</v>
      </c>
      <c r="Y44" s="173">
        <f t="shared" si="2"/>
        <v>0</v>
      </c>
      <c r="Z44" s="104">
        <f t="shared" si="3"/>
        <v>1</v>
      </c>
    </row>
    <row r="45" spans="1:26" hidden="1" x14ac:dyDescent="0.25">
      <c r="A45" s="196" t="s">
        <v>141</v>
      </c>
      <c r="B45" s="196" t="s">
        <v>234</v>
      </c>
      <c r="C45" s="196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6">
        <f t="shared" si="8"/>
        <v>2019</v>
      </c>
      <c r="E45" s="194" t="s">
        <v>24</v>
      </c>
      <c r="F45" s="197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4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7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9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6">
        <f t="shared" si="9"/>
        <v>0</v>
      </c>
      <c r="O45" s="197">
        <f t="shared" si="1"/>
        <v>0</v>
      </c>
      <c r="P45" s="207">
        <f t="shared" si="10"/>
        <v>2534442.072977222</v>
      </c>
      <c r="Q45" s="194">
        <f>IFERROR(VLOOKUP(A45,[1]Energiindhold!$A$2:$C$11,3,FALSE),IFERROR(VLOOKUP(A45,[1]Biogasudbytte!$A$2:$B$18,2,FALSE)*[1]Energiindhold!$C$10,0))*O45</f>
        <v>0</v>
      </c>
      <c r="R45" s="194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4">
        <f>IFERROR(VLOOKUP(A45,[1]Biogasudbytte!$A$2:$B$18,2,FALSE)*[1]Energiindhold!$C$10,0)*J45*IFERROR(VLOOKUP(A45,Biogasanlæg!$F$3:$G$8,2,FALSE),1)</f>
        <v>1.0918376450385874</v>
      </c>
      <c r="T45" s="195">
        <f t="shared" si="11"/>
        <v>0</v>
      </c>
      <c r="U45" s="193">
        <f>O45*IFERROR(VLOOKUP(A45,[1]Tørstofindhold!A$2:B$25,2,FALSE),0)</f>
        <v>0</v>
      </c>
      <c r="V45" s="194">
        <f>IF(D45=År1,P45,SUM(O45,P45))*IFERROR(VLOOKUP(A45,[1]Tørstofindhold!A$2:B$25,2,FALSE),0)</f>
        <v>126722.10364886111</v>
      </c>
      <c r="W45" s="194">
        <f>J45*IFERROR(VLOOKUP(A45,[1]Tørstofindhold!A$2:B$25,2,FALSE),0)</f>
        <v>126722.10364886111</v>
      </c>
      <c r="X45" s="195">
        <f t="shared" si="12"/>
        <v>0</v>
      </c>
      <c r="Y45" s="173">
        <f t="shared" si="2"/>
        <v>0</v>
      </c>
      <c r="Z45" s="104">
        <f t="shared" si="3"/>
        <v>0</v>
      </c>
    </row>
    <row r="46" spans="1:26" x14ac:dyDescent="0.25">
      <c r="A46" s="196" t="s">
        <v>13</v>
      </c>
      <c r="B46" s="196"/>
      <c r="C46" s="196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6">
        <f t="shared" si="8"/>
        <v>2019</v>
      </c>
      <c r="E46" s="194" t="s">
        <v>24</v>
      </c>
      <c r="F46" s="197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4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7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9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6">
        <f t="shared" si="9"/>
        <v>1276456.3476501952</v>
      </c>
      <c r="O46" s="197">
        <f t="shared" si="1"/>
        <v>0</v>
      </c>
      <c r="P46" s="207">
        <f t="shared" si="10"/>
        <v>0</v>
      </c>
      <c r="Q46" s="194">
        <f>IFERROR(VLOOKUP(A46,[1]Energiindhold!$A$2:$C$11,3,FALSE),IFERROR(VLOOKUP(A46,[1]Biogasudbytte!$A$2:$B$18,2,FALSE)*[1]Energiindhold!$C$10,0))*O46</f>
        <v>0</v>
      </c>
      <c r="R46" s="194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4">
        <f>IFERROR(VLOOKUP(A46,[1]Biogasudbytte!$A$2:$B$18,2,FALSE)*[1]Energiindhold!$C$10,0)*J46*IFERROR(VLOOKUP(A46,Biogasanlæg!$F$3:$G$8,2,FALSE),1)</f>
        <v>0</v>
      </c>
      <c r="T46" s="195">
        <f t="shared" si="11"/>
        <v>0</v>
      </c>
      <c r="U46" s="193">
        <f>O46*IFERROR(VLOOKUP(A46,[1]Tørstofindhold!A$2:B$25,2,FALSE),0)</f>
        <v>0</v>
      </c>
      <c r="V46" s="194">
        <f>IF(D46=År1,P46,SUM(O46,P46))*IFERROR(VLOOKUP(A46,[1]Tørstofindhold!A$2:B$25,2,FALSE),0)</f>
        <v>0</v>
      </c>
      <c r="W46" s="194">
        <f>J46*IFERROR(VLOOKUP(A46,[1]Tørstofindhold!A$2:B$25,2,FALSE),0)</f>
        <v>0</v>
      </c>
      <c r="X46" s="195">
        <f t="shared" si="12"/>
        <v>0</v>
      </c>
      <c r="Y46" s="173">
        <f t="shared" si="2"/>
        <v>0</v>
      </c>
      <c r="Z46" s="104">
        <f t="shared" si="3"/>
        <v>1</v>
      </c>
    </row>
    <row r="47" spans="1:26" hidden="1" x14ac:dyDescent="0.25">
      <c r="A47" s="196" t="s">
        <v>101</v>
      </c>
      <c r="B47" s="196" t="s">
        <v>238</v>
      </c>
      <c r="C47" s="196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6">
        <f t="shared" si="8"/>
        <v>2019</v>
      </c>
      <c r="E47" s="194" t="s">
        <v>24</v>
      </c>
      <c r="F47" s="197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4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7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9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6">
        <f t="shared" si="9"/>
        <v>76.5</v>
      </c>
      <c r="O47" s="197">
        <f t="shared" si="1"/>
        <v>76.5</v>
      </c>
      <c r="P47" s="207">
        <f t="shared" si="10"/>
        <v>0</v>
      </c>
      <c r="Q47" s="194">
        <f>IFERROR(VLOOKUP(A47,[1]Energiindhold!$A$2:$C$11,3,FALSE),IFERROR(VLOOKUP(A47,[1]Biogasudbytte!$A$2:$B$18,2,FALSE)*[1]Energiindhold!$C$10,0))*O47</f>
        <v>6.8658750000000004E-5</v>
      </c>
      <c r="R47" s="194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4">
        <f>IFERROR(VLOOKUP(A47,[1]Biogasudbytte!$A$2:$B$18,2,FALSE)*[1]Energiindhold!$C$10,0)*J47*IFERROR(VLOOKUP(A47,Biogasanlæg!$F$3:$G$8,2,FALSE),1)</f>
        <v>0</v>
      </c>
      <c r="T47" s="195">
        <f t="shared" si="11"/>
        <v>0</v>
      </c>
      <c r="U47" s="193">
        <f>O47*IFERROR(VLOOKUP(A47,[1]Tørstofindhold!A$2:B$25,2,FALSE),0)</f>
        <v>11.475</v>
      </c>
      <c r="V47" s="194">
        <f>IF(D47=År1,P47,SUM(O47,P47))*IFERROR(VLOOKUP(A47,[1]Tørstofindhold!A$2:B$25,2,FALSE),0)</f>
        <v>0</v>
      </c>
      <c r="W47" s="194">
        <f>J47*IFERROR(VLOOKUP(A47,[1]Tørstofindhold!A$2:B$25,2,FALSE),0)</f>
        <v>0</v>
      </c>
      <c r="X47" s="195">
        <f t="shared" si="12"/>
        <v>0</v>
      </c>
      <c r="Y47" s="173">
        <f t="shared" si="2"/>
        <v>0</v>
      </c>
      <c r="Z47" s="104">
        <f t="shared" si="3"/>
        <v>1</v>
      </c>
    </row>
    <row r="48" spans="1:26" hidden="1" x14ac:dyDescent="0.25">
      <c r="A48" s="196" t="s">
        <v>106</v>
      </c>
      <c r="B48" s="196"/>
      <c r="C48" s="196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6">
        <f t="shared" si="8"/>
        <v>2019</v>
      </c>
      <c r="E48" s="194" t="s">
        <v>24</v>
      </c>
      <c r="F48" s="197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4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7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9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6">
        <f t="shared" si="9"/>
        <v>0</v>
      </c>
      <c r="O48" s="197">
        <f t="shared" si="1"/>
        <v>0</v>
      </c>
      <c r="P48" s="207">
        <f t="shared" si="10"/>
        <v>0</v>
      </c>
      <c r="Q48" s="194">
        <f>IFERROR(VLOOKUP(A48,[1]Energiindhold!$A$2:$C$11,3,FALSE),IFERROR(VLOOKUP(A48,[1]Biogasudbytte!$A$2:$B$18,2,FALSE)*[1]Energiindhold!$C$10,0))*O48</f>
        <v>0</v>
      </c>
      <c r="R48" s="194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4">
        <f>IFERROR(VLOOKUP(A48,[1]Biogasudbytte!$A$2:$B$18,2,FALSE)*[1]Energiindhold!$C$10,0)*J48*IFERROR(VLOOKUP(A48,Biogasanlæg!$F$3:$G$8,2,FALSE),1)</f>
        <v>0</v>
      </c>
      <c r="T48" s="195">
        <f t="shared" si="11"/>
        <v>0</v>
      </c>
      <c r="U48" s="193">
        <f>O48*IFERROR(VLOOKUP(A48,[1]Tørstofindhold!A$2:B$25,2,FALSE),0)</f>
        <v>0</v>
      </c>
      <c r="V48" s="194">
        <f>IF(D48=År1,P48,SUM(O48,P48))*IFERROR(VLOOKUP(A48,[1]Tørstofindhold!A$2:B$25,2,FALSE),0)</f>
        <v>0</v>
      </c>
      <c r="W48" s="194">
        <f>J48*IFERROR(VLOOKUP(A48,[1]Tørstofindhold!A$2:B$25,2,FALSE),0)</f>
        <v>0</v>
      </c>
      <c r="X48" s="195">
        <f t="shared" si="12"/>
        <v>0</v>
      </c>
      <c r="Y48" s="173">
        <f t="shared" si="2"/>
        <v>0</v>
      </c>
      <c r="Z48" s="104">
        <f t="shared" si="3"/>
        <v>0</v>
      </c>
    </row>
    <row r="49" spans="1:26" hidden="1" x14ac:dyDescent="0.25">
      <c r="A49" s="196" t="s">
        <v>122</v>
      </c>
      <c r="B49" s="196" t="s">
        <v>237</v>
      </c>
      <c r="C49" s="196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6">
        <f t="shared" si="8"/>
        <v>2019</v>
      </c>
      <c r="E49" s="194" t="s">
        <v>24</v>
      </c>
      <c r="F49" s="197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4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7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9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6">
        <f t="shared" si="9"/>
        <v>0</v>
      </c>
      <c r="O49" s="197">
        <f t="shared" si="1"/>
        <v>0</v>
      </c>
      <c r="P49" s="207">
        <f t="shared" si="10"/>
        <v>2328635.6388303456</v>
      </c>
      <c r="Q49" s="194">
        <f>IFERROR(VLOOKUP(A49,[1]Energiindhold!$A$2:$C$11,3,FALSE),IFERROR(VLOOKUP(A49,[1]Biogasudbytte!$A$2:$B$18,2,FALSE)*[1]Energiindhold!$C$10,0))*O49</f>
        <v>0</v>
      </c>
      <c r="R49" s="194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4">
        <f>IFERROR(VLOOKUP(A49,[1]Biogasudbytte!$A$2:$B$18,2,FALSE)*[1]Energiindhold!$C$10,0)*J49*IFERROR(VLOOKUP(A49,Biogasanlæg!$F$3:$G$8,2,FALSE),1)</f>
        <v>0</v>
      </c>
      <c r="T49" s="195">
        <f t="shared" si="11"/>
        <v>33.750241076188566</v>
      </c>
      <c r="U49" s="193">
        <f>O49*IFERROR(VLOOKUP(A49,[1]Tørstofindhold!A$2:B$25,2,FALSE),0)</f>
        <v>0</v>
      </c>
      <c r="V49" s="194">
        <f>IF(D49=År1,P49,SUM(O49,P49))*IFERROR(VLOOKUP(A49,[1]Tørstofindhold!A$2:B$25,2,FALSE),0)</f>
        <v>1151704.3763715085</v>
      </c>
      <c r="W49" s="194">
        <f>J49*IFERROR(VLOOKUP(A49,[1]Tørstofindhold!A$2:B$25,2,FALSE),0)</f>
        <v>0</v>
      </c>
      <c r="X49" s="195">
        <f t="shared" si="12"/>
        <v>1151704.3763715085</v>
      </c>
      <c r="Y49" s="173">
        <f t="shared" si="2"/>
        <v>0</v>
      </c>
      <c r="Z49" s="104">
        <f t="shared" si="3"/>
        <v>0</v>
      </c>
    </row>
    <row r="50" spans="1:26" hidden="1" x14ac:dyDescent="0.25">
      <c r="A50" s="196" t="s">
        <v>121</v>
      </c>
      <c r="B50" s="196"/>
      <c r="C50" s="196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6">
        <f t="shared" si="8"/>
        <v>2019</v>
      </c>
      <c r="E50" s="194" t="s">
        <v>24</v>
      </c>
      <c r="F50" s="197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4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7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9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6">
        <f t="shared" si="9"/>
        <v>640280.13059892249</v>
      </c>
      <c r="O50" s="197">
        <f t="shared" si="1"/>
        <v>0</v>
      </c>
      <c r="P50" s="207">
        <f t="shared" si="10"/>
        <v>0</v>
      </c>
      <c r="Q50" s="194">
        <f>IFERROR(VLOOKUP(A50,[1]Energiindhold!$A$2:$C$11,3,FALSE),IFERROR(VLOOKUP(A50,[1]Biogasudbytte!$A$2:$B$18,2,FALSE)*[1]Energiindhold!$C$10,0))*O50</f>
        <v>0</v>
      </c>
      <c r="R50" s="194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4">
        <f>IFERROR(VLOOKUP(A50,[1]Biogasudbytte!$A$2:$B$18,2,FALSE)*[1]Energiindhold!$C$10,0)*J50*IFERROR(VLOOKUP(A50,Biogasanlæg!$F$3:$G$8,2,FALSE),1)</f>
        <v>0</v>
      </c>
      <c r="T50" s="195">
        <f t="shared" si="11"/>
        <v>0</v>
      </c>
      <c r="U50" s="193">
        <f>O50*IFERROR(VLOOKUP(A50,[1]Tørstofindhold!A$2:B$25,2,FALSE),0)</f>
        <v>0</v>
      </c>
      <c r="V50" s="194">
        <f>IF(D50=År1,P50,SUM(O50,P50))*IFERROR(VLOOKUP(A50,[1]Tørstofindhold!A$2:B$25,2,FALSE),0)</f>
        <v>0</v>
      </c>
      <c r="W50" s="194">
        <f>J50*IFERROR(VLOOKUP(A50,[1]Tørstofindhold!A$2:B$25,2,FALSE),0)</f>
        <v>0</v>
      </c>
      <c r="X50" s="195">
        <f t="shared" si="12"/>
        <v>0</v>
      </c>
      <c r="Y50" s="173">
        <f t="shared" si="2"/>
        <v>0</v>
      </c>
      <c r="Z50" s="104">
        <f t="shared" si="3"/>
        <v>1</v>
      </c>
    </row>
    <row r="51" spans="1:26" hidden="1" x14ac:dyDescent="0.25">
      <c r="A51" s="196" t="str">
        <f t="shared" ref="A51:A82" si="17">A3</f>
        <v>Æg</v>
      </c>
      <c r="B51" s="196" t="str">
        <f t="shared" ref="B51:B82" si="18">IF(B3&lt;&gt;"",B3,"")</f>
        <v/>
      </c>
      <c r="C51" s="196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6">
        <f t="shared" ref="D51:D98" si="19">År2</f>
        <v>2030</v>
      </c>
      <c r="E51" s="194" t="s">
        <v>24</v>
      </c>
      <c r="F51" s="197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81488.73162783937</v>
      </c>
      <c r="G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4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7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9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6">
        <f t="shared" si="9"/>
        <v>48908.947074839503</v>
      </c>
      <c r="O51" s="197">
        <f t="shared" si="1"/>
        <v>0</v>
      </c>
      <c r="P51" s="207">
        <f t="shared" si="10"/>
        <v>0</v>
      </c>
      <c r="Q51" s="194">
        <f>IFERROR(VLOOKUP(A51,[1]Energiindhold!$A$2:$C$11,3,FALSE),IFERROR(VLOOKUP(A51,[1]Biogasudbytte!$A$2:$B$18,2,FALSE)*[1]Energiindhold!$C$10,0))*O51</f>
        <v>0</v>
      </c>
      <c r="R51" s="194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4">
        <f>IFERROR(VLOOKUP(A51,[1]Biogasudbytte!$A$2:$B$18,2,FALSE)*[1]Energiindhold!$C$10,0)*J51*IFERROR(VLOOKUP(A51,Biogasanlæg!$F$3:$G$8,2,FALSE),1)</f>
        <v>0</v>
      </c>
      <c r="T51" s="195">
        <f t="shared" si="11"/>
        <v>0</v>
      </c>
      <c r="U51" s="193">
        <f>O51*IFERROR(VLOOKUP(A51,[1]Tørstofindhold!A$2:B$25,2,FALSE),0)</f>
        <v>0</v>
      </c>
      <c r="V51" s="194">
        <f>IF(D51=År1,P51,SUM(O51,P51))*IFERROR(VLOOKUP(A51,[1]Tørstofindhold!A$2:B$25,2,FALSE),0)</f>
        <v>0</v>
      </c>
      <c r="W51" s="194">
        <f>J51*IFERROR(VLOOKUP(A51,[1]Tørstofindhold!A$2:B$25,2,FALSE),0)</f>
        <v>0</v>
      </c>
      <c r="X51" s="195">
        <f t="shared" si="12"/>
        <v>0</v>
      </c>
      <c r="Y51" s="173">
        <f t="shared" si="2"/>
        <v>0</v>
      </c>
      <c r="Z51" s="104">
        <f t="shared" si="3"/>
        <v>1</v>
      </c>
    </row>
    <row r="52" spans="1:26" hidden="1" x14ac:dyDescent="0.25">
      <c r="A52" s="196" t="str">
        <f t="shared" si="17"/>
        <v>Bælgsæd</v>
      </c>
      <c r="B52" s="196" t="str">
        <f t="shared" si="18"/>
        <v/>
      </c>
      <c r="C52" s="196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6">
        <f t="shared" si="19"/>
        <v>2030</v>
      </c>
      <c r="E52" s="194" t="s">
        <v>24</v>
      </c>
      <c r="F52" s="197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1055703.8134178538</v>
      </c>
      <c r="G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32249.237737595988</v>
      </c>
      <c r="H52" s="194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108599.28184333291</v>
      </c>
      <c r="J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7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9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6">
        <f t="shared" si="9"/>
        <v>914855.29383692495</v>
      </c>
      <c r="O52" s="197">
        <f t="shared" si="1"/>
        <v>0</v>
      </c>
      <c r="P52" s="207">
        <f t="shared" si="10"/>
        <v>0</v>
      </c>
      <c r="Q52" s="194">
        <f>IFERROR(VLOOKUP(A52,[1]Energiindhold!$A$2:$C$11,3,FALSE),IFERROR(VLOOKUP(A52,[1]Biogasudbytte!$A$2:$B$18,2,FALSE)*[1]Energiindhold!$C$10,0))*O52</f>
        <v>0</v>
      </c>
      <c r="R52" s="194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4">
        <f>IFERROR(VLOOKUP(A52,[1]Biogasudbytte!$A$2:$B$18,2,FALSE)*[1]Energiindhold!$C$10,0)*J52*IFERROR(VLOOKUP(A52,Biogasanlæg!$F$3:$G$8,2,FALSE),1)</f>
        <v>0</v>
      </c>
      <c r="T52" s="195">
        <f t="shared" si="11"/>
        <v>0</v>
      </c>
      <c r="U52" s="193">
        <f>O52*IFERROR(VLOOKUP(A52,[1]Tørstofindhold!A$2:B$25,2,FALSE),0)</f>
        <v>0</v>
      </c>
      <c r="V52" s="194">
        <f>IF(D52=År1,P52,SUM(O52,P52))*IFERROR(VLOOKUP(A52,[1]Tørstofindhold!A$2:B$25,2,FALSE),0)</f>
        <v>0</v>
      </c>
      <c r="W52" s="194">
        <f>J52*IFERROR(VLOOKUP(A52,[1]Tørstofindhold!A$2:B$25,2,FALSE),0)</f>
        <v>0</v>
      </c>
      <c r="X52" s="195">
        <f t="shared" si="12"/>
        <v>0</v>
      </c>
      <c r="Y52" s="173">
        <f t="shared" si="2"/>
        <v>0</v>
      </c>
      <c r="Z52" s="104">
        <f t="shared" si="3"/>
        <v>1</v>
      </c>
    </row>
    <row r="53" spans="1:26" hidden="1" x14ac:dyDescent="0.25">
      <c r="A53" s="196" t="str">
        <f t="shared" si="17"/>
        <v>Bioaffald</v>
      </c>
      <c r="B53" s="196" t="str">
        <f t="shared" si="18"/>
        <v>Bionedbrydeligt affald</v>
      </c>
      <c r="C53" s="196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6">
        <f t="shared" si="19"/>
        <v>2030</v>
      </c>
      <c r="E53" s="194" t="s">
        <v>24</v>
      </c>
      <c r="F53" s="197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0</v>
      </c>
      <c r="G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4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7" t="e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#REF!</v>
      </c>
      <c r="K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7" t="e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#REF!</v>
      </c>
      <c r="M53" s="159" t="e">
        <f ca="1">SUMIFS('Forbrug af biomasse'!E:E,'Forbrug af biomasse'!C:C,'Resultat-Produktion &amp; forbrug'!$A53,'Forbrug af biomasse'!D:D,'Resultat-Produktion &amp; forbrug'!$D53,'Forbrug af biomasse'!G:G,1,'Forbrug af biomasse'!B:B,$E53)</f>
        <v>#REF!</v>
      </c>
      <c r="N53" s="206" t="e">
        <f t="shared" ca="1" si="9"/>
        <v>#REF!</v>
      </c>
      <c r="O53" s="197" t="e">
        <f t="shared" ca="1" si="1"/>
        <v>#REF!</v>
      </c>
      <c r="P53" s="207" t="e">
        <f t="shared" ca="1" si="10"/>
        <v>#REF!</v>
      </c>
      <c r="Q53" s="194" t="e">
        <f ca="1">IFERROR(VLOOKUP(A53,[1]Energiindhold!$A$2:$C$11,3,FALSE),IFERROR(VLOOKUP(A53,[1]Biogasudbytte!$A$2:$B$18,2,FALSE)*[1]Energiindhold!$C$10,0))*O53</f>
        <v>#REF!</v>
      </c>
      <c r="R53" s="194" t="e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#REF!</v>
      </c>
      <c r="S53" s="194" t="e">
        <f ca="1">IFERROR(VLOOKUP(A53,[1]Biogasudbytte!$A$2:$B$18,2,FALSE)*[1]Energiindhold!$C$10,0)*J53*IFERROR(VLOOKUP(A53,Biogasanlæg!$F$3:$G$8,2,FALSE),1)</f>
        <v>#REF!</v>
      </c>
      <c r="T53" s="195" t="e">
        <f t="shared" ca="1" si="11"/>
        <v>#REF!</v>
      </c>
      <c r="U53" s="193" t="e">
        <f ca="1">O53*IFERROR(VLOOKUP(A53,[1]Tørstofindhold!A$2:B$25,2,FALSE),0)</f>
        <v>#REF!</v>
      </c>
      <c r="V53" s="194" t="e">
        <f ca="1">IF(D53=År1,P53,SUM(O53,P53))*IFERROR(VLOOKUP(A53,[1]Tørstofindhold!A$2:B$25,2,FALSE),0)</f>
        <v>#REF!</v>
      </c>
      <c r="W53" s="194" t="e">
        <f ca="1">J53*IFERROR(VLOOKUP(A53,[1]Tørstofindhold!A$2:B$25,2,FALSE),0)</f>
        <v>#REF!</v>
      </c>
      <c r="X53" s="195" t="e">
        <f t="shared" ca="1" si="12"/>
        <v>#REF!</v>
      </c>
      <c r="Y53" s="173" t="e">
        <f t="shared" ca="1" si="2"/>
        <v>#REF!</v>
      </c>
      <c r="Z53" s="104" t="e">
        <f t="shared" ca="1" si="3"/>
        <v>#REF!</v>
      </c>
    </row>
    <row r="54" spans="1:26" hidden="1" x14ac:dyDescent="0.25">
      <c r="A54" s="196" t="str">
        <f t="shared" si="17"/>
        <v>Biogas</v>
      </c>
      <c r="B54" s="196" t="str">
        <f t="shared" si="18"/>
        <v/>
      </c>
      <c r="C54" s="196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6">
        <f t="shared" si="19"/>
        <v>2030</v>
      </c>
      <c r="E54" s="194" t="s">
        <v>24</v>
      </c>
      <c r="F54" s="197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167251712.03677821</v>
      </c>
      <c r="G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4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7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167251712.03677821</v>
      </c>
      <c r="M54" s="159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6">
        <f t="shared" ca="1" si="9"/>
        <v>0</v>
      </c>
      <c r="O54" s="197">
        <f t="shared" ca="1" si="1"/>
        <v>0</v>
      </c>
      <c r="P54" s="207">
        <f t="shared" ca="1" si="10"/>
        <v>167251712.03677821</v>
      </c>
      <c r="Q54" s="194">
        <f ca="1">IFERROR(VLOOKUP(A54,[1]Energiindhold!$A$2:$C$11,3,FALSE),IFERROR(VLOOKUP(A54,[1]Biogasudbytte!$A$2:$B$18,2,FALSE)*[1]Energiindhold!$C$10,0))*O54</f>
        <v>0</v>
      </c>
      <c r="R54" s="194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4">
        <f>IFERROR(VLOOKUP(A54,[1]Biogasudbytte!$A$2:$B$18,2,FALSE)*[1]Energiindhold!$C$10,0)*J54*IFERROR(VLOOKUP(A54,Biogasanlæg!$F$3:$G$8,2,FALSE),1)</f>
        <v>0</v>
      </c>
      <c r="T54" s="195">
        <f t="shared" si="11"/>
        <v>0</v>
      </c>
      <c r="U54" s="193">
        <f ca="1">O54*IFERROR(VLOOKUP(A54,[1]Tørstofindhold!A$2:B$25,2,FALSE),0)</f>
        <v>0</v>
      </c>
      <c r="V54" s="194">
        <f ca="1">IF(D54=År1,P54,SUM(O54,P54))*IFERROR(VLOOKUP(A54,[1]Tørstofindhold!A$2:B$25,2,FALSE),0)</f>
        <v>0</v>
      </c>
      <c r="W54" s="194">
        <f>J54*IFERROR(VLOOKUP(A54,[1]Tørstofindhold!A$2:B$25,2,FALSE),0)</f>
        <v>0</v>
      </c>
      <c r="X54" s="195">
        <f t="shared" ca="1" si="12"/>
        <v>0</v>
      </c>
      <c r="Y54" s="173">
        <f t="shared" ca="1" si="2"/>
        <v>0</v>
      </c>
      <c r="Z54" s="104">
        <f t="shared" ca="1" si="3"/>
        <v>0</v>
      </c>
    </row>
    <row r="55" spans="1:26" hidden="1" x14ac:dyDescent="0.25">
      <c r="A55" s="196" t="str">
        <f t="shared" si="17"/>
        <v>Biogasgylle</v>
      </c>
      <c r="B55" s="196" t="str">
        <f t="shared" si="18"/>
        <v/>
      </c>
      <c r="C55" s="196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6">
        <f t="shared" si="19"/>
        <v>2030</v>
      </c>
      <c r="E55" s="194" t="s">
        <v>24</v>
      </c>
      <c r="F55" s="197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0</v>
      </c>
      <c r="G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4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7" t="e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#REF!</v>
      </c>
      <c r="L55" s="197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9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6" t="e">
        <f t="shared" ca="1" si="9"/>
        <v>#REF!</v>
      </c>
      <c r="O55" s="197">
        <f t="shared" si="1"/>
        <v>0</v>
      </c>
      <c r="P55" s="207">
        <f t="shared" si="10"/>
        <v>0</v>
      </c>
      <c r="Q55" s="194">
        <f>IFERROR(VLOOKUP(A55,[1]Energiindhold!$A$2:$C$11,3,FALSE),IFERROR(VLOOKUP(A55,[1]Biogasudbytte!$A$2:$B$18,2,FALSE)*[1]Energiindhold!$C$10,0))*O55</f>
        <v>0</v>
      </c>
      <c r="R55" s="194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4">
        <f>IFERROR(VLOOKUP(A55,[1]Biogasudbytte!$A$2:$B$18,2,FALSE)*[1]Energiindhold!$C$10,0)*J55*IFERROR(VLOOKUP(A55,Biogasanlæg!$F$3:$G$8,2,FALSE),1)</f>
        <v>0</v>
      </c>
      <c r="T55" s="195">
        <f t="shared" si="11"/>
        <v>0</v>
      </c>
      <c r="U55" s="193">
        <f>O55*IFERROR(VLOOKUP(A55,[1]Tørstofindhold!A$2:B$25,2,FALSE),0)</f>
        <v>0</v>
      </c>
      <c r="V55" s="194">
        <f>IF(D55=År1,P55,SUM(O55,P55))*IFERROR(VLOOKUP(A55,[1]Tørstofindhold!A$2:B$25,2,FALSE),0)</f>
        <v>0</v>
      </c>
      <c r="W55" s="194">
        <f>J55*IFERROR(VLOOKUP(A55,[1]Tørstofindhold!A$2:B$25,2,FALSE),0)</f>
        <v>0</v>
      </c>
      <c r="X55" s="195">
        <f t="shared" si="12"/>
        <v>0</v>
      </c>
      <c r="Y55" s="173" t="e">
        <f t="shared" ca="1" si="2"/>
        <v>#REF!</v>
      </c>
      <c r="Z55" s="104" t="e">
        <f t="shared" ca="1" si="3"/>
        <v>#REF!</v>
      </c>
    </row>
    <row r="56" spans="1:26" hidden="1" x14ac:dyDescent="0.25">
      <c r="A56" s="196" t="str">
        <f t="shared" si="17"/>
        <v>Brun saft</v>
      </c>
      <c r="B56" s="196" t="str">
        <f t="shared" si="18"/>
        <v>Bionedbrydeligt affald</v>
      </c>
      <c r="C56" s="196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6">
        <f t="shared" si="19"/>
        <v>2030</v>
      </c>
      <c r="E56" s="194" t="s">
        <v>24</v>
      </c>
      <c r="F56" s="197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1898227.2976393914</v>
      </c>
      <c r="G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4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189822.72976393916</v>
      </c>
      <c r="K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7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9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6">
        <f t="shared" si="9"/>
        <v>1708404.5678754523</v>
      </c>
      <c r="O56" s="197">
        <f t="shared" si="1"/>
        <v>1708404.5678754523</v>
      </c>
      <c r="P56" s="207">
        <f t="shared" si="10"/>
        <v>189822.72976393916</v>
      </c>
      <c r="Q56" s="194">
        <f>IFERROR(VLOOKUP(A56,[1]Energiindhold!$A$2:$C$11,3,FALSE),IFERROR(VLOOKUP(A56,[1]Biogasudbytte!$A$2:$B$18,2,FALSE)*[1]Energiindhold!$C$10,0))*O56</f>
        <v>0.9704183445152833</v>
      </c>
      <c r="R56" s="194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1.0782426050169815</v>
      </c>
      <c r="S56" s="194">
        <f>IFERROR(VLOOKUP(A56,[1]Biogasudbytte!$A$2:$B$18,2,FALSE)*[1]Energiindhold!$C$10,0)*J56*IFERROR(VLOOKUP(A56,Biogasanlæg!$F$3:$G$8,2,FALSE),1)</f>
        <v>0.10782426050169815</v>
      </c>
      <c r="T56" s="195">
        <f t="shared" si="11"/>
        <v>0.97041834451528342</v>
      </c>
      <c r="U56" s="193">
        <f>O56*IFERROR(VLOOKUP(A56,[1]Tørstofindhold!A$2:B$25,2,FALSE),0)</f>
        <v>73057.166642722514</v>
      </c>
      <c r="V56" s="194">
        <f>IF(D56=År1,P56,SUM(O56,P56))*IFERROR(VLOOKUP(A56,[1]Tørstofindhold!A$2:B$25,2,FALSE),0)</f>
        <v>81174.629603025009</v>
      </c>
      <c r="W56" s="194">
        <f>J56*IFERROR(VLOOKUP(A56,[1]Tørstofindhold!A$2:B$25,2,FALSE),0)</f>
        <v>8117.4629603025023</v>
      </c>
      <c r="X56" s="195">
        <f t="shared" si="12"/>
        <v>73057.166642722499</v>
      </c>
      <c r="Y56" s="173">
        <f t="shared" si="2"/>
        <v>0</v>
      </c>
      <c r="Z56" s="104">
        <f t="shared" si="3"/>
        <v>1</v>
      </c>
    </row>
    <row r="57" spans="1:26" hidden="1" x14ac:dyDescent="0.25">
      <c r="A57" s="196" t="str">
        <f t="shared" si="17"/>
        <v>Dybstrøelse</v>
      </c>
      <c r="B57" s="196" t="str">
        <f t="shared" si="18"/>
        <v>Husdyrgødning</v>
      </c>
      <c r="C57" s="196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6">
        <f t="shared" si="19"/>
        <v>2030</v>
      </c>
      <c r="E57" s="194" t="s">
        <v>24</v>
      </c>
      <c r="F57" s="197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1897012.2450900592</v>
      </c>
      <c r="G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4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948506.12254502962</v>
      </c>
      <c r="K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359077.31782061834</v>
      </c>
      <c r="L57" s="197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9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6">
        <f t="shared" si="9"/>
        <v>589428.80472441134</v>
      </c>
      <c r="O57" s="197">
        <f t="shared" si="1"/>
        <v>589428.80472441134</v>
      </c>
      <c r="P57" s="207">
        <f t="shared" si="10"/>
        <v>948506.12254502962</v>
      </c>
      <c r="Q57" s="194">
        <f>IFERROR(VLOOKUP(A57,[1]Energiindhold!$A$2:$C$11,3,FALSE),IFERROR(VLOOKUP(A57,[1]Biogasudbytte!$A$2:$B$18,2,FALSE)*[1]Energiindhold!$C$10,0))*O57</f>
        <v>1.269629645376382</v>
      </c>
      <c r="R57" s="194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3.3127118333383763</v>
      </c>
      <c r="S57" s="194">
        <f>IFERROR(VLOOKUP(A57,[1]Biogasudbytte!$A$2:$B$18,2,FALSE)*[1]Energiindhold!$C$10,0)*J57*IFERROR(VLOOKUP(A57,Biogasanlæg!$F$3:$G$8,2,FALSE),1)</f>
        <v>2.043082187961994</v>
      </c>
      <c r="T57" s="195">
        <f t="shared" si="11"/>
        <v>1.2696296453763822</v>
      </c>
      <c r="U57" s="193">
        <f>O57*IFERROR(VLOOKUP(A57,[1]Tørstofindhold!A$2:B$25,2,FALSE),0)</f>
        <v>176828.64141732341</v>
      </c>
      <c r="V57" s="194">
        <f>IF(D57=År1,P57,SUM(O57,P57))*IFERROR(VLOOKUP(A57,[1]Tørstofindhold!A$2:B$25,2,FALSE),0)</f>
        <v>461380.47818083229</v>
      </c>
      <c r="W57" s="194">
        <f>J57*IFERROR(VLOOKUP(A57,[1]Tørstofindhold!A$2:B$25,2,FALSE),0)</f>
        <v>284551.83676350885</v>
      </c>
      <c r="X57" s="195">
        <f t="shared" si="12"/>
        <v>176828.64141732344</v>
      </c>
      <c r="Y57" s="173">
        <f t="shared" si="2"/>
        <v>0</v>
      </c>
      <c r="Z57" s="104">
        <f t="shared" si="3"/>
        <v>1</v>
      </c>
    </row>
    <row r="58" spans="1:26" hidden="1" x14ac:dyDescent="0.25">
      <c r="A58" s="196" t="str">
        <f t="shared" si="17"/>
        <v>Fiberfraktion</v>
      </c>
      <c r="B58" s="196" t="str">
        <f t="shared" si="18"/>
        <v/>
      </c>
      <c r="C58" s="196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6">
        <f t="shared" si="19"/>
        <v>2030</v>
      </c>
      <c r="E58" s="194" t="s">
        <v>24</v>
      </c>
      <c r="F58" s="197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1336993.8993439414</v>
      </c>
      <c r="G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4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7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9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6">
        <f t="shared" si="9"/>
        <v>1336993.8993439414</v>
      </c>
      <c r="O58" s="197">
        <f t="shared" si="1"/>
        <v>0</v>
      </c>
      <c r="P58" s="207">
        <f t="shared" si="10"/>
        <v>0</v>
      </c>
      <c r="Q58" s="194">
        <f>IFERROR(VLOOKUP(A58,[1]Energiindhold!$A$2:$C$11,3,FALSE),IFERROR(VLOOKUP(A58,[1]Biogasudbytte!$A$2:$B$18,2,FALSE)*[1]Energiindhold!$C$10,0))*O58</f>
        <v>0</v>
      </c>
      <c r="R58" s="194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4">
        <f>IFERROR(VLOOKUP(A58,[1]Biogasudbytte!$A$2:$B$18,2,FALSE)*[1]Energiindhold!$C$10,0)*J58*IFERROR(VLOOKUP(A58,Biogasanlæg!$F$3:$G$8,2,FALSE),1)</f>
        <v>0</v>
      </c>
      <c r="T58" s="195">
        <f t="shared" si="11"/>
        <v>0</v>
      </c>
      <c r="U58" s="193">
        <f>O58*IFERROR(VLOOKUP(A58,[1]Tørstofindhold!A$2:B$25,2,FALSE),0)</f>
        <v>0</v>
      </c>
      <c r="V58" s="194">
        <f>IF(D58=År1,P58,SUM(O58,P58))*IFERROR(VLOOKUP(A58,[1]Tørstofindhold!A$2:B$25,2,FALSE),0)</f>
        <v>0</v>
      </c>
      <c r="W58" s="194">
        <f>J58*IFERROR(VLOOKUP(A58,[1]Tørstofindhold!A$2:B$25,2,FALSE),0)</f>
        <v>0</v>
      </c>
      <c r="X58" s="195">
        <f t="shared" si="12"/>
        <v>0</v>
      </c>
      <c r="Y58" s="173">
        <f t="shared" si="2"/>
        <v>0</v>
      </c>
      <c r="Z58" s="104">
        <f t="shared" si="3"/>
        <v>1</v>
      </c>
    </row>
    <row r="59" spans="1:26" hidden="1" x14ac:dyDescent="0.25">
      <c r="A59" s="196" t="str">
        <f t="shared" si="17"/>
        <v>Fjerkrægylle</v>
      </c>
      <c r="B59" s="196" t="str">
        <f t="shared" si="18"/>
        <v>Husdyrgødning</v>
      </c>
      <c r="C59" s="196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6">
        <f t="shared" si="19"/>
        <v>2030</v>
      </c>
      <c r="E59" s="194" t="s">
        <v>24</v>
      </c>
      <c r="F59" s="197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5416.0385581725213</v>
      </c>
      <c r="G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4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2708.0192790862607</v>
      </c>
      <c r="K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2050.3574541653115</v>
      </c>
      <c r="L59" s="197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9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6">
        <f t="shared" si="9"/>
        <v>657.66182492094867</v>
      </c>
      <c r="O59" s="197">
        <f t="shared" si="1"/>
        <v>657.66182492094867</v>
      </c>
      <c r="P59" s="207">
        <f t="shared" si="10"/>
        <v>2708.0192790862607</v>
      </c>
      <c r="Q59" s="194">
        <f>IFERROR(VLOOKUP(A59,[1]Energiindhold!$A$2:$C$11,3,FALSE),IFERROR(VLOOKUP(A59,[1]Biogasudbytte!$A$2:$B$18,2,FALSE)*[1]Energiindhold!$C$10,0))*O59</f>
        <v>3.0929177964207296E-4</v>
      </c>
      <c r="R59" s="194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1.5828461664035504E-3</v>
      </c>
      <c r="S59" s="194">
        <f>IFERROR(VLOOKUP(A59,[1]Biogasudbytte!$A$2:$B$18,2,FALSE)*[1]Energiindhold!$C$10,0)*J59*IFERROR(VLOOKUP(A59,Biogasanlæg!$F$3:$G$8,2,FALSE),1)</f>
        <v>1.2735543867614775E-3</v>
      </c>
      <c r="T59" s="195">
        <f t="shared" si="11"/>
        <v>3.0929177964207286E-4</v>
      </c>
      <c r="U59" s="193">
        <f>O59*IFERROR(VLOOKUP(A59,[1]Tørstofindhold!A$2:B$25,2,FALSE),0)</f>
        <v>41.432694970019767</v>
      </c>
      <c r="V59" s="194">
        <f>IF(D59=År1,P59,SUM(O59,P59))*IFERROR(VLOOKUP(A59,[1]Tørstofindhold!A$2:B$25,2,FALSE),0)</f>
        <v>212.03790955245418</v>
      </c>
      <c r="W59" s="194">
        <f>J59*IFERROR(VLOOKUP(A59,[1]Tørstofindhold!A$2:B$25,2,FALSE),0)</f>
        <v>170.60521458243443</v>
      </c>
      <c r="X59" s="195">
        <f t="shared" si="12"/>
        <v>41.432694970019753</v>
      </c>
      <c r="Y59" s="173">
        <f t="shared" si="2"/>
        <v>0</v>
      </c>
      <c r="Z59" s="104">
        <f t="shared" si="3"/>
        <v>1</v>
      </c>
    </row>
    <row r="60" spans="1:26" hidden="1" x14ac:dyDescent="0.25">
      <c r="A60" s="196" t="str">
        <f t="shared" si="17"/>
        <v>Fjerkrækød</v>
      </c>
      <c r="B60" s="196" t="str">
        <f t="shared" si="18"/>
        <v/>
      </c>
      <c r="C60" s="196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6">
        <f t="shared" si="19"/>
        <v>2030</v>
      </c>
      <c r="E60" s="194" t="s">
        <v>24</v>
      </c>
      <c r="F60" s="197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54450.688726027351</v>
      </c>
      <c r="G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4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17647.383299541594</v>
      </c>
      <c r="J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7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9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6">
        <f t="shared" si="9"/>
        <v>36803.305426485756</v>
      </c>
      <c r="O60" s="197">
        <f t="shared" si="1"/>
        <v>0</v>
      </c>
      <c r="P60" s="207">
        <f t="shared" si="10"/>
        <v>0</v>
      </c>
      <c r="Q60" s="194">
        <f>IFERROR(VLOOKUP(A60,[1]Energiindhold!$A$2:$C$11,3,FALSE),IFERROR(VLOOKUP(A60,[1]Biogasudbytte!$A$2:$B$18,2,FALSE)*[1]Energiindhold!$C$10,0))*O60</f>
        <v>0</v>
      </c>
      <c r="R60" s="194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4">
        <f>IFERROR(VLOOKUP(A60,[1]Biogasudbytte!$A$2:$B$18,2,FALSE)*[1]Energiindhold!$C$10,0)*J60*IFERROR(VLOOKUP(A60,Biogasanlæg!$F$3:$G$8,2,FALSE),1)</f>
        <v>0</v>
      </c>
      <c r="T60" s="195">
        <f t="shared" si="11"/>
        <v>0</v>
      </c>
      <c r="U60" s="193">
        <f>O60*IFERROR(VLOOKUP(A60,[1]Tørstofindhold!A$2:B$25,2,FALSE),0)</f>
        <v>0</v>
      </c>
      <c r="V60" s="194">
        <f>IF(D60=År1,P60,SUM(O60,P60))*IFERROR(VLOOKUP(A60,[1]Tørstofindhold!A$2:B$25,2,FALSE),0)</f>
        <v>0</v>
      </c>
      <c r="W60" s="194">
        <f>J60*IFERROR(VLOOKUP(A60,[1]Tørstofindhold!A$2:B$25,2,FALSE),0)</f>
        <v>0</v>
      </c>
      <c r="X60" s="195">
        <f t="shared" si="12"/>
        <v>0</v>
      </c>
      <c r="Y60" s="173">
        <f t="shared" si="2"/>
        <v>0</v>
      </c>
      <c r="Z60" s="104">
        <f t="shared" si="3"/>
        <v>1</v>
      </c>
    </row>
    <row r="61" spans="1:26" hidden="1" x14ac:dyDescent="0.25">
      <c r="A61" s="196" t="str">
        <f t="shared" si="17"/>
        <v>Frø</v>
      </c>
      <c r="B61" s="196" t="str">
        <f t="shared" si="18"/>
        <v/>
      </c>
      <c r="C61" s="196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6">
        <f t="shared" si="19"/>
        <v>2030</v>
      </c>
      <c r="E61" s="194" t="s">
        <v>24</v>
      </c>
      <c r="F61" s="197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503348.87978942681</v>
      </c>
      <c r="G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4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7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9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6">
        <f t="shared" si="9"/>
        <v>503348.87978942681</v>
      </c>
      <c r="O61" s="197">
        <f t="shared" si="1"/>
        <v>0</v>
      </c>
      <c r="P61" s="207">
        <f t="shared" si="10"/>
        <v>0</v>
      </c>
      <c r="Q61" s="194">
        <f>IFERROR(VLOOKUP(A61,[1]Energiindhold!$A$2:$C$11,3,FALSE),IFERROR(VLOOKUP(A61,[1]Biogasudbytte!$A$2:$B$18,2,FALSE)*[1]Energiindhold!$C$10,0))*O61</f>
        <v>0</v>
      </c>
      <c r="R61" s="194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4">
        <f>IFERROR(VLOOKUP(A61,[1]Biogasudbytte!$A$2:$B$18,2,FALSE)*[1]Energiindhold!$C$10,0)*J61*IFERROR(VLOOKUP(A61,Biogasanlæg!$F$3:$G$8,2,FALSE),1)</f>
        <v>0</v>
      </c>
      <c r="T61" s="195">
        <f t="shared" si="11"/>
        <v>0</v>
      </c>
      <c r="U61" s="193">
        <f>O61*IFERROR(VLOOKUP(A61,[1]Tørstofindhold!A$2:B$25,2,FALSE),0)</f>
        <v>0</v>
      </c>
      <c r="V61" s="194">
        <f>IF(D61=År1,P61,SUM(O61,P61))*IFERROR(VLOOKUP(A61,[1]Tørstofindhold!A$2:B$25,2,FALSE),0)</f>
        <v>0</v>
      </c>
      <c r="W61" s="194">
        <f>J61*IFERROR(VLOOKUP(A61,[1]Tørstofindhold!A$2:B$25,2,FALSE),0)</f>
        <v>0</v>
      </c>
      <c r="X61" s="195">
        <f t="shared" si="12"/>
        <v>0</v>
      </c>
      <c r="Y61" s="173">
        <f t="shared" si="2"/>
        <v>0</v>
      </c>
      <c r="Z61" s="104">
        <f t="shared" si="3"/>
        <v>1</v>
      </c>
    </row>
    <row r="62" spans="1:26" hidden="1" x14ac:dyDescent="0.25">
      <c r="A62" s="196" t="str">
        <f t="shared" si="17"/>
        <v>Frugt</v>
      </c>
      <c r="B62" s="196" t="str">
        <f t="shared" si="18"/>
        <v/>
      </c>
      <c r="C62" s="196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6">
        <f t="shared" si="19"/>
        <v>2030</v>
      </c>
      <c r="E62" s="194" t="s">
        <v>24</v>
      </c>
      <c r="F62" s="197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212870.55640082812</v>
      </c>
      <c r="G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4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7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9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6">
        <f t="shared" si="9"/>
        <v>-45052.737977087498</v>
      </c>
      <c r="O62" s="197">
        <f t="shared" si="1"/>
        <v>0</v>
      </c>
      <c r="P62" s="207">
        <f t="shared" si="10"/>
        <v>0</v>
      </c>
      <c r="Q62" s="194">
        <f>IFERROR(VLOOKUP(A62,[1]Energiindhold!$A$2:$C$11,3,FALSE),IFERROR(VLOOKUP(A62,[1]Biogasudbytte!$A$2:$B$18,2,FALSE)*[1]Energiindhold!$C$10,0))*O62</f>
        <v>0</v>
      </c>
      <c r="R62" s="194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4">
        <f>IFERROR(VLOOKUP(A62,[1]Biogasudbytte!$A$2:$B$18,2,FALSE)*[1]Energiindhold!$C$10,0)*J62*IFERROR(VLOOKUP(A62,Biogasanlæg!$F$3:$G$8,2,FALSE),1)</f>
        <v>0</v>
      </c>
      <c r="T62" s="195">
        <f t="shared" si="11"/>
        <v>0</v>
      </c>
      <c r="U62" s="193">
        <f>O62*IFERROR(VLOOKUP(A62,[1]Tørstofindhold!A$2:B$25,2,FALSE),0)</f>
        <v>0</v>
      </c>
      <c r="V62" s="194">
        <f>IF(D62=År1,P62,SUM(O62,P62))*IFERROR(VLOOKUP(A62,[1]Tørstofindhold!A$2:B$25,2,FALSE),0)</f>
        <v>0</v>
      </c>
      <c r="W62" s="194">
        <f>J62*IFERROR(VLOOKUP(A62,[1]Tørstofindhold!A$2:B$25,2,FALSE),0)</f>
        <v>0</v>
      </c>
      <c r="X62" s="195">
        <f t="shared" si="12"/>
        <v>0</v>
      </c>
      <c r="Y62" s="173">
        <f t="shared" si="2"/>
        <v>1</v>
      </c>
      <c r="Z62" s="104">
        <f t="shared" si="3"/>
        <v>0</v>
      </c>
    </row>
    <row r="63" spans="1:26" hidden="1" x14ac:dyDescent="0.25">
      <c r="A63" s="196" t="str">
        <f t="shared" si="17"/>
        <v>Glycerin</v>
      </c>
      <c r="B63" s="196" t="str">
        <f t="shared" si="18"/>
        <v>Glycerin</v>
      </c>
      <c r="C63" s="196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6">
        <f t="shared" si="19"/>
        <v>2030</v>
      </c>
      <c r="E63" s="194" t="s">
        <v>24</v>
      </c>
      <c r="F63" s="197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4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0</v>
      </c>
      <c r="K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7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9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6">
        <f t="shared" si="9"/>
        <v>0</v>
      </c>
      <c r="O63" s="197">
        <f t="shared" si="1"/>
        <v>0</v>
      </c>
      <c r="P63" s="207">
        <f t="shared" si="10"/>
        <v>0</v>
      </c>
      <c r="Q63" s="194">
        <f>IFERROR(VLOOKUP(A63,[1]Energiindhold!$A$2:$C$11,3,FALSE),IFERROR(VLOOKUP(A63,[1]Biogasudbytte!$A$2:$B$18,2,FALSE)*[1]Energiindhold!$C$10,0))*O63</f>
        <v>0</v>
      </c>
      <c r="R63" s="194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0</v>
      </c>
      <c r="S63" s="194">
        <f>IFERROR(VLOOKUP(A63,[1]Biogasudbytte!$A$2:$B$18,2,FALSE)*[1]Energiindhold!$C$10,0)*J63*IFERROR(VLOOKUP(A63,Biogasanlæg!$F$3:$G$8,2,FALSE),1)</f>
        <v>0</v>
      </c>
      <c r="T63" s="195">
        <f t="shared" si="11"/>
        <v>0</v>
      </c>
      <c r="U63" s="193">
        <f>O63*IFERROR(VLOOKUP(A63,[1]Tørstofindhold!A$2:B$25,2,FALSE),0)</f>
        <v>0</v>
      </c>
      <c r="V63" s="194">
        <f>IF(D63=År1,P63,SUM(O63,P63))*IFERROR(VLOOKUP(A63,[1]Tørstofindhold!A$2:B$25,2,FALSE),0)</f>
        <v>0</v>
      </c>
      <c r="W63" s="194">
        <f>J63*IFERROR(VLOOKUP(A63,[1]Tørstofindhold!A$2:B$25,2,FALSE),0)</f>
        <v>0</v>
      </c>
      <c r="X63" s="195">
        <f t="shared" si="12"/>
        <v>0</v>
      </c>
      <c r="Y63" s="173">
        <f t="shared" si="2"/>
        <v>0</v>
      </c>
      <c r="Z63" s="104">
        <f t="shared" si="3"/>
        <v>0</v>
      </c>
    </row>
    <row r="64" spans="1:26" hidden="1" x14ac:dyDescent="0.25">
      <c r="A64" s="196" t="str">
        <f t="shared" si="17"/>
        <v>Græs</v>
      </c>
      <c r="B64" s="196" t="str">
        <f t="shared" si="18"/>
        <v>Græs og urter</v>
      </c>
      <c r="C64" s="196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6">
        <f t="shared" si="19"/>
        <v>2030</v>
      </c>
      <c r="E64" s="194" t="s">
        <v>24</v>
      </c>
      <c r="F64" s="197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10019425.413707765</v>
      </c>
      <c r="G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6118844.9546291493</v>
      </c>
      <c r="H64" s="194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0</v>
      </c>
      <c r="K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7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9">
        <f>SUMIFS('Forbrug af biomasse'!E:E,'Forbrug af biomasse'!C:C,'Resultat-Produktion &amp; forbrug'!$A64,'Forbrug af biomasse'!D:D,'Resultat-Produktion &amp; forbrug'!$D64,'Forbrug af biomasse'!G:G,1,'Forbrug af biomasse'!B:B,$E64)</f>
        <v>3884618.233807533</v>
      </c>
      <c r="N64" s="206">
        <f t="shared" si="9"/>
        <v>15962.225271081552</v>
      </c>
      <c r="O64" s="197">
        <f t="shared" si="1"/>
        <v>15962.225271081552</v>
      </c>
      <c r="P64" s="207">
        <f t="shared" si="10"/>
        <v>0</v>
      </c>
      <c r="Q64" s="194">
        <f>IFERROR(VLOOKUP(A64,[1]Energiindhold!$A$2:$C$11,3,FALSE),IFERROR(VLOOKUP(A64,[1]Biogasudbytte!$A$2:$B$18,2,FALSE)*[1]Energiindhold!$C$10,0))*O64</f>
        <v>2.9368499220631172E-2</v>
      </c>
      <c r="R64" s="194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2.9368499220631172E-2</v>
      </c>
      <c r="S64" s="194">
        <f>IFERROR(VLOOKUP(A64,[1]Biogasudbytte!$A$2:$B$18,2,FALSE)*[1]Energiindhold!$C$10,0)*J64*IFERROR(VLOOKUP(A64,Biogasanlæg!$F$3:$G$8,2,FALSE),1)</f>
        <v>0</v>
      </c>
      <c r="T64" s="195">
        <f t="shared" si="11"/>
        <v>2.9368499220631172E-2</v>
      </c>
      <c r="U64" s="193">
        <f>O64*IFERROR(VLOOKUP(A64,[1]Tørstofindhold!A$2:B$25,2,FALSE),0)</f>
        <v>4469.4230759028351</v>
      </c>
      <c r="V64" s="194">
        <f>IF(D64=År1,P64,SUM(O64,P64))*IFERROR(VLOOKUP(A64,[1]Tørstofindhold!A$2:B$25,2,FALSE),0)</f>
        <v>4469.4230759028351</v>
      </c>
      <c r="W64" s="194">
        <f>J64*IFERROR(VLOOKUP(A64,[1]Tørstofindhold!A$2:B$25,2,FALSE),0)</f>
        <v>0</v>
      </c>
      <c r="X64" s="195">
        <f t="shared" si="12"/>
        <v>4469.4230759028351</v>
      </c>
      <c r="Y64" s="173">
        <f t="shared" si="2"/>
        <v>0</v>
      </c>
      <c r="Z64" s="104">
        <f t="shared" si="3"/>
        <v>1</v>
      </c>
    </row>
    <row r="65" spans="1:26" hidden="1" x14ac:dyDescent="0.25">
      <c r="A65" s="196" t="str">
        <f t="shared" si="17"/>
        <v>Græsprotein</v>
      </c>
      <c r="B65" s="196" t="str">
        <f t="shared" si="18"/>
        <v/>
      </c>
      <c r="C65" s="196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6">
        <f t="shared" si="19"/>
        <v>2030</v>
      </c>
      <c r="E65" s="194" t="s">
        <v>24</v>
      </c>
      <c r="F65" s="197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649397.03682420007</v>
      </c>
      <c r="G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649397.03682420007</v>
      </c>
      <c r="H65" s="194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7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9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6">
        <f t="shared" si="9"/>
        <v>0</v>
      </c>
      <c r="O65" s="197">
        <f t="shared" si="1"/>
        <v>0</v>
      </c>
      <c r="P65" s="207">
        <f t="shared" si="10"/>
        <v>0</v>
      </c>
      <c r="Q65" s="194">
        <f>IFERROR(VLOOKUP(A65,[1]Energiindhold!$A$2:$C$11,3,FALSE),IFERROR(VLOOKUP(A65,[1]Biogasudbytte!$A$2:$B$18,2,FALSE)*[1]Energiindhold!$C$10,0))*O65</f>
        <v>0</v>
      </c>
      <c r="R65" s="194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4">
        <f>IFERROR(VLOOKUP(A65,[1]Biogasudbytte!$A$2:$B$18,2,FALSE)*[1]Energiindhold!$C$10,0)*J65*IFERROR(VLOOKUP(A65,Biogasanlæg!$F$3:$G$8,2,FALSE),1)</f>
        <v>0</v>
      </c>
      <c r="T65" s="195">
        <f t="shared" si="11"/>
        <v>0</v>
      </c>
      <c r="U65" s="193">
        <f>O65*IFERROR(VLOOKUP(A65,[1]Tørstofindhold!A$2:B$25,2,FALSE),0)</f>
        <v>0</v>
      </c>
      <c r="V65" s="194">
        <f>IF(D65=År1,P65,SUM(O65,P65))*IFERROR(VLOOKUP(A65,[1]Tørstofindhold!A$2:B$25,2,FALSE),0)</f>
        <v>0</v>
      </c>
      <c r="W65" s="194">
        <f>J65*IFERROR(VLOOKUP(A65,[1]Tørstofindhold!A$2:B$25,2,FALSE),0)</f>
        <v>0</v>
      </c>
      <c r="X65" s="195">
        <f t="shared" si="12"/>
        <v>0</v>
      </c>
      <c r="Y65" s="173">
        <f t="shared" si="2"/>
        <v>0</v>
      </c>
      <c r="Z65" s="104">
        <f t="shared" si="3"/>
        <v>0</v>
      </c>
    </row>
    <row r="66" spans="1:26" hidden="1" x14ac:dyDescent="0.25">
      <c r="A66" s="196" t="str">
        <f t="shared" si="17"/>
        <v>Grøntsager</v>
      </c>
      <c r="B66" s="196" t="str">
        <f t="shared" si="18"/>
        <v/>
      </c>
      <c r="C66" s="196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6">
        <f t="shared" si="19"/>
        <v>2030</v>
      </c>
      <c r="E66" s="194" t="s">
        <v>24</v>
      </c>
      <c r="F66" s="197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914917.20796027384</v>
      </c>
      <c r="G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4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7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9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6">
        <f t="shared" si="9"/>
        <v>644776.49437498325</v>
      </c>
      <c r="O66" s="197">
        <f t="shared" si="1"/>
        <v>0</v>
      </c>
      <c r="P66" s="207">
        <f t="shared" si="10"/>
        <v>0</v>
      </c>
      <c r="Q66" s="194">
        <f>IFERROR(VLOOKUP(A66,[1]Energiindhold!$A$2:$C$11,3,FALSE),IFERROR(VLOOKUP(A66,[1]Biogasudbytte!$A$2:$B$18,2,FALSE)*[1]Energiindhold!$C$10,0))*O66</f>
        <v>0</v>
      </c>
      <c r="R66" s="194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4">
        <f>IFERROR(VLOOKUP(A66,[1]Biogasudbytte!$A$2:$B$18,2,FALSE)*[1]Energiindhold!$C$10,0)*J66*IFERROR(VLOOKUP(A66,Biogasanlæg!$F$3:$G$8,2,FALSE),1)</f>
        <v>0</v>
      </c>
      <c r="T66" s="195">
        <f t="shared" si="11"/>
        <v>0</v>
      </c>
      <c r="U66" s="193">
        <f>O66*IFERROR(VLOOKUP(A66,[1]Tørstofindhold!A$2:B$25,2,FALSE),0)</f>
        <v>0</v>
      </c>
      <c r="V66" s="194">
        <f>IF(D66=År1,P66,SUM(O66,P66))*IFERROR(VLOOKUP(A66,[1]Tørstofindhold!A$2:B$25,2,FALSE),0)</f>
        <v>0</v>
      </c>
      <c r="W66" s="194">
        <f>J66*IFERROR(VLOOKUP(A66,[1]Tørstofindhold!A$2:B$25,2,FALSE),0)</f>
        <v>0</v>
      </c>
      <c r="X66" s="195">
        <f t="shared" si="12"/>
        <v>0</v>
      </c>
      <c r="Y66" s="173">
        <f t="shared" si="2"/>
        <v>0</v>
      </c>
      <c r="Z66" s="104">
        <f t="shared" si="3"/>
        <v>1</v>
      </c>
    </row>
    <row r="67" spans="1:26" hidden="1" x14ac:dyDescent="0.25">
      <c r="A67" s="196" t="str">
        <f t="shared" si="17"/>
        <v>Halm</v>
      </c>
      <c r="B67" s="196" t="str">
        <f t="shared" si="18"/>
        <v>Halm og strå</v>
      </c>
      <c r="C67" s="196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6">
        <f t="shared" si="19"/>
        <v>2030</v>
      </c>
      <c r="E67" s="194" t="s">
        <v>24</v>
      </c>
      <c r="F67" s="197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1175164.654924925</v>
      </c>
      <c r="G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386542.94677146303</v>
      </c>
      <c r="H67" s="194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349975.86857885815</v>
      </c>
      <c r="I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0</v>
      </c>
      <c r="K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7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438645.83957460371</v>
      </c>
      <c r="M67" s="159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6">
        <f t="shared" si="9"/>
        <v>0</v>
      </c>
      <c r="O67" s="197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7">
        <f t="shared" si="10"/>
        <v>438645.83957460371</v>
      </c>
      <c r="Q67" s="194">
        <f>IFERROR(VLOOKUP(A67,[1]Energiindhold!$A$2:$C$11,3,FALSE),IFERROR(VLOOKUP(A67,[1]Biogasudbytte!$A$2:$B$18,2,FALSE)*[1]Energiindhold!$C$10,0))*O67</f>
        <v>0</v>
      </c>
      <c r="R67" s="194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4.5337584493101053</v>
      </c>
      <c r="S67" s="194">
        <f>IFERROR(VLOOKUP(A67,[1]Biogasudbytte!$A$2:$B$18,2,FALSE)*[1]Energiindhold!$C$10,0)*J67*IFERROR(VLOOKUP(A67,Biogasanlæg!$F$3:$G$8,2,FALSE),1)</f>
        <v>0</v>
      </c>
      <c r="T67" s="195">
        <f t="shared" si="11"/>
        <v>4.5337584493101053</v>
      </c>
      <c r="U67" s="193">
        <f>O67*IFERROR(VLOOKUP(A67,[1]Tørstofindhold!A$2:B$25,2,FALSE),0)</f>
        <v>0</v>
      </c>
      <c r="V67" s="194">
        <f>IF(D67=År1,P67,SUM(O67,P67))*IFERROR(VLOOKUP(A67,[1]Tørstofindhold!A$2:B$25,2,FALSE),0)</f>
        <v>372848.96363841317</v>
      </c>
      <c r="W67" s="194">
        <f>J67*IFERROR(VLOOKUP(A67,[1]Tørstofindhold!A$2:B$25,2,FALSE),0)</f>
        <v>0</v>
      </c>
      <c r="X67" s="195">
        <f t="shared" si="12"/>
        <v>372848.96363841317</v>
      </c>
      <c r="Y67" s="173">
        <f t="shared" ref="Y67:Y130" si="21">IF(SUMIFS($N$3:$N$290,$A$3:$A$290,A67,$D$3:$D$290,D67)&lt;0,1,0)</f>
        <v>0</v>
      </c>
      <c r="Z67" s="104">
        <f t="shared" ref="Z67:Z130" si="22">IF(SUMIFS($N$3:$N$290,$A$3:$A$290,A67,$D$3:$D$290,D67)&gt;0,1,0)</f>
        <v>0</v>
      </c>
    </row>
    <row r="68" spans="1:26" hidden="1" x14ac:dyDescent="0.25">
      <c r="A68" s="196" t="str">
        <f t="shared" si="17"/>
        <v>Have/parkaffald</v>
      </c>
      <c r="B68" s="196" t="str">
        <f t="shared" si="18"/>
        <v>Bionedbrydeligt affald</v>
      </c>
      <c r="C68" s="196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6">
        <f t="shared" si="19"/>
        <v>2030</v>
      </c>
      <c r="E68" s="194" t="s">
        <v>24</v>
      </c>
      <c r="F68" s="197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4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0</v>
      </c>
      <c r="K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7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526734.10986839118</v>
      </c>
      <c r="M68" s="159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6">
        <f t="shared" si="9"/>
        <v>0</v>
      </c>
      <c r="O68" s="197">
        <f t="shared" si="20"/>
        <v>0</v>
      </c>
      <c r="P68" s="207">
        <f t="shared" si="10"/>
        <v>526734.10986839118</v>
      </c>
      <c r="Q68" s="194">
        <f>IFERROR(VLOOKUP(A68,[1]Energiindhold!$A$2:$C$11,3,FALSE),IFERROR(VLOOKUP(A68,[1]Biogasudbytte!$A$2:$B$18,2,FALSE)*[1]Energiindhold!$C$10,0))*O68</f>
        <v>0</v>
      </c>
      <c r="R68" s="194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9.4033734851313486</v>
      </c>
      <c r="S68" s="194">
        <f>IFERROR(VLOOKUP(A68,[1]Biogasudbytte!$A$2:$B$18,2,FALSE)*[1]Energiindhold!$C$10,0)*J68*IFERROR(VLOOKUP(A68,Biogasanlæg!$F$3:$G$8,2,FALSE),1)</f>
        <v>0</v>
      </c>
      <c r="T68" s="195">
        <f t="shared" si="11"/>
        <v>9.4033734851313486</v>
      </c>
      <c r="U68" s="193">
        <f>O68*IFERROR(VLOOKUP(A68,[1]Tørstofindhold!A$2:B$25,2,FALSE),0)</f>
        <v>0</v>
      </c>
      <c r="V68" s="194">
        <f>IF(D68=År1,P68,SUM(O68,P68))*IFERROR(VLOOKUP(A68,[1]Tørstofindhold!A$2:B$25,2,FALSE),0)</f>
        <v>158020.23296051734</v>
      </c>
      <c r="W68" s="194">
        <f>J68*IFERROR(VLOOKUP(A68,[1]Tørstofindhold!A$2:B$25,2,FALSE),0)</f>
        <v>0</v>
      </c>
      <c r="X68" s="195">
        <f t="shared" si="12"/>
        <v>158020.23296051734</v>
      </c>
      <c r="Y68" s="173">
        <f t="shared" si="21"/>
        <v>0</v>
      </c>
      <c r="Z68" s="104">
        <f t="shared" si="22"/>
        <v>0</v>
      </c>
    </row>
    <row r="69" spans="1:26" hidden="1" x14ac:dyDescent="0.25">
      <c r="A69" s="196" t="str">
        <f t="shared" si="17"/>
        <v>Import af foder</v>
      </c>
      <c r="B69" s="196" t="str">
        <f t="shared" si="18"/>
        <v/>
      </c>
      <c r="C69" s="196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6">
        <f t="shared" si="19"/>
        <v>2030</v>
      </c>
      <c r="E69" s="194" t="s">
        <v>24</v>
      </c>
      <c r="F69" s="197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0</v>
      </c>
      <c r="H69" s="194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7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9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6">
        <f t="shared" si="9"/>
        <v>0</v>
      </c>
      <c r="O69" s="197">
        <f t="shared" si="20"/>
        <v>0</v>
      </c>
      <c r="P69" s="207">
        <f t="shared" si="10"/>
        <v>0</v>
      </c>
      <c r="Q69" s="194">
        <f>IFERROR(VLOOKUP(A69,[1]Energiindhold!$A$2:$C$11,3,FALSE),IFERROR(VLOOKUP(A69,[1]Biogasudbytte!$A$2:$B$18,2,FALSE)*[1]Energiindhold!$C$10,0))*O69</f>
        <v>0</v>
      </c>
      <c r="R69" s="194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4">
        <f>IFERROR(VLOOKUP(A69,[1]Biogasudbytte!$A$2:$B$18,2,FALSE)*[1]Energiindhold!$C$10,0)*J69*IFERROR(VLOOKUP(A69,Biogasanlæg!$F$3:$G$8,2,FALSE),1)</f>
        <v>0</v>
      </c>
      <c r="T69" s="195">
        <f t="shared" si="11"/>
        <v>0</v>
      </c>
      <c r="U69" s="193">
        <f>O69*IFERROR(VLOOKUP(A69,[1]Tørstofindhold!A$2:B$25,2,FALSE),0)</f>
        <v>0</v>
      </c>
      <c r="V69" s="194">
        <f>IF(D69=År1,P69,SUM(O69,P69))*IFERROR(VLOOKUP(A69,[1]Tørstofindhold!A$2:B$25,2,FALSE),0)</f>
        <v>0</v>
      </c>
      <c r="W69" s="194">
        <f>J69*IFERROR(VLOOKUP(A69,[1]Tørstofindhold!A$2:B$25,2,FALSE),0)</f>
        <v>0</v>
      </c>
      <c r="X69" s="195">
        <f t="shared" si="12"/>
        <v>0</v>
      </c>
      <c r="Y69" s="173">
        <f t="shared" si="21"/>
        <v>0</v>
      </c>
      <c r="Z69" s="104">
        <f t="shared" si="22"/>
        <v>0</v>
      </c>
    </row>
    <row r="70" spans="1:26" hidden="1" x14ac:dyDescent="0.25">
      <c r="A70" s="196" t="str">
        <f t="shared" si="17"/>
        <v>Industriaffald</v>
      </c>
      <c r="B70" s="196" t="str">
        <f t="shared" si="18"/>
        <v>Bionedbrydeligt affald</v>
      </c>
      <c r="C70" s="196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6">
        <f t="shared" si="19"/>
        <v>2030</v>
      </c>
      <c r="E70" s="194" t="s">
        <v>24</v>
      </c>
      <c r="F70" s="197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344385.13737273094</v>
      </c>
      <c r="G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4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0</v>
      </c>
      <c r="K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7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9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6">
        <f t="shared" si="9"/>
        <v>344385.13737273094</v>
      </c>
      <c r="O70" s="197">
        <f t="shared" si="20"/>
        <v>344385.13737273094</v>
      </c>
      <c r="P70" s="207">
        <f t="shared" si="10"/>
        <v>0</v>
      </c>
      <c r="Q70" s="194">
        <f>IFERROR(VLOOKUP(A70,[1]Energiindhold!$A$2:$C$11,3,FALSE),IFERROR(VLOOKUP(A70,[1]Biogasudbytte!$A$2:$B$18,2,FALSE)*[1]Energiindhold!$C$10,0))*O70</f>
        <v>1.4922655703039018</v>
      </c>
      <c r="R70" s="194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1.4922655703039018</v>
      </c>
      <c r="S70" s="194">
        <f>IFERROR(VLOOKUP(A70,[1]Biogasudbytte!$A$2:$B$18,2,FALSE)*[1]Energiindhold!$C$10,0)*J70*IFERROR(VLOOKUP(A70,Biogasanlæg!$F$3:$G$8,2,FALSE),1)</f>
        <v>0</v>
      </c>
      <c r="T70" s="195">
        <f t="shared" si="11"/>
        <v>1.4922655703039018</v>
      </c>
      <c r="U70" s="193">
        <f>O70*IFERROR(VLOOKUP(A70,[1]Tørstofindhold!A$2:B$25,2,FALSE),0)</f>
        <v>144641.75769654699</v>
      </c>
      <c r="V70" s="194">
        <f>IF(D70=År1,P70,SUM(O70,P70))*IFERROR(VLOOKUP(A70,[1]Tørstofindhold!A$2:B$25,2,FALSE),0)</f>
        <v>144641.75769654699</v>
      </c>
      <c r="W70" s="194">
        <f>J70*IFERROR(VLOOKUP(A70,[1]Tørstofindhold!A$2:B$25,2,FALSE),0)</f>
        <v>0</v>
      </c>
      <c r="X70" s="195">
        <f t="shared" si="12"/>
        <v>144641.75769654699</v>
      </c>
      <c r="Y70" s="173">
        <f t="shared" si="21"/>
        <v>0</v>
      </c>
      <c r="Z70" s="104">
        <f t="shared" si="22"/>
        <v>1</v>
      </c>
    </row>
    <row r="71" spans="1:26" hidden="1" x14ac:dyDescent="0.25">
      <c r="A71" s="196" t="str">
        <f t="shared" si="17"/>
        <v>Juletræer</v>
      </c>
      <c r="B71" s="196" t="str">
        <f t="shared" si="18"/>
        <v/>
      </c>
      <c r="C71" s="196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6">
        <f t="shared" si="19"/>
        <v>2030</v>
      </c>
      <c r="E71" s="194" t="s">
        <v>24</v>
      </c>
      <c r="F71" s="197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474846.15363376588</v>
      </c>
      <c r="G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4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7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9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6">
        <f t="shared" si="9"/>
        <v>474846.15363376588</v>
      </c>
      <c r="O71" s="197">
        <f t="shared" si="20"/>
        <v>0</v>
      </c>
      <c r="P71" s="207">
        <f t="shared" si="10"/>
        <v>0</v>
      </c>
      <c r="Q71" s="194">
        <f>IFERROR(VLOOKUP(A71,[1]Energiindhold!$A$2:$C$11,3,FALSE),IFERROR(VLOOKUP(A71,[1]Biogasudbytte!$A$2:$B$18,2,FALSE)*[1]Energiindhold!$C$10,0))*O71</f>
        <v>0</v>
      </c>
      <c r="R71" s="194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4">
        <f>IFERROR(VLOOKUP(A71,[1]Biogasudbytte!$A$2:$B$18,2,FALSE)*[1]Energiindhold!$C$10,0)*J71*IFERROR(VLOOKUP(A71,Biogasanlæg!$F$3:$G$8,2,FALSE),1)</f>
        <v>0</v>
      </c>
      <c r="T71" s="195">
        <f t="shared" si="11"/>
        <v>0</v>
      </c>
      <c r="U71" s="193">
        <f>O71*IFERROR(VLOOKUP(A71,[1]Tørstofindhold!A$2:B$25,2,FALSE),0)</f>
        <v>0</v>
      </c>
      <c r="V71" s="194">
        <f>IF(D71=År1,P71,SUM(O71,P71))*IFERROR(VLOOKUP(A71,[1]Tørstofindhold!A$2:B$25,2,FALSE),0)</f>
        <v>0</v>
      </c>
      <c r="W71" s="194">
        <f>J71*IFERROR(VLOOKUP(A71,[1]Tørstofindhold!A$2:B$25,2,FALSE),0)</f>
        <v>0</v>
      </c>
      <c r="X71" s="195">
        <f t="shared" si="12"/>
        <v>0</v>
      </c>
      <c r="Y71" s="173">
        <f t="shared" si="21"/>
        <v>0</v>
      </c>
      <c r="Z71" s="104">
        <f t="shared" si="22"/>
        <v>1</v>
      </c>
    </row>
    <row r="72" spans="1:26" hidden="1" x14ac:dyDescent="0.25">
      <c r="A72" s="196" t="str">
        <f t="shared" si="17"/>
        <v>Kartofler</v>
      </c>
      <c r="B72" s="196" t="str">
        <f t="shared" si="18"/>
        <v/>
      </c>
      <c r="C72" s="196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6">
        <f t="shared" si="19"/>
        <v>2030</v>
      </c>
      <c r="E72" s="194" t="s">
        <v>24</v>
      </c>
      <c r="F72" s="197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1309144.9470220618</v>
      </c>
      <c r="G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4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7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9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6">
        <f t="shared" si="9"/>
        <v>1185613.2639252706</v>
      </c>
      <c r="O72" s="197">
        <f t="shared" si="20"/>
        <v>0</v>
      </c>
      <c r="P72" s="207">
        <f t="shared" si="10"/>
        <v>0</v>
      </c>
      <c r="Q72" s="194">
        <f>IFERROR(VLOOKUP(A72,[1]Energiindhold!$A$2:$C$11,3,FALSE),IFERROR(VLOOKUP(A72,[1]Biogasudbytte!$A$2:$B$18,2,FALSE)*[1]Energiindhold!$C$10,0))*O72</f>
        <v>0</v>
      </c>
      <c r="R72" s="194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4">
        <f>IFERROR(VLOOKUP(A72,[1]Biogasudbytte!$A$2:$B$18,2,FALSE)*[1]Energiindhold!$C$10,0)*J72*IFERROR(VLOOKUP(A72,Biogasanlæg!$F$3:$G$8,2,FALSE),1)</f>
        <v>0</v>
      </c>
      <c r="T72" s="195">
        <f t="shared" si="11"/>
        <v>0</v>
      </c>
      <c r="U72" s="193">
        <f>O72*IFERROR(VLOOKUP(A72,[1]Tørstofindhold!A$2:B$25,2,FALSE),0)</f>
        <v>0</v>
      </c>
      <c r="V72" s="194">
        <f>IF(D72=År1,P72,SUM(O72,P72))*IFERROR(VLOOKUP(A72,[1]Tørstofindhold!A$2:B$25,2,FALSE),0)</f>
        <v>0</v>
      </c>
      <c r="W72" s="194">
        <f>J72*IFERROR(VLOOKUP(A72,[1]Tørstofindhold!A$2:B$25,2,FALSE),0)</f>
        <v>0</v>
      </c>
      <c r="X72" s="195">
        <f t="shared" si="12"/>
        <v>0</v>
      </c>
      <c r="Y72" s="173">
        <f t="shared" si="21"/>
        <v>0</v>
      </c>
      <c r="Z72" s="104">
        <f t="shared" si="22"/>
        <v>1</v>
      </c>
    </row>
    <row r="73" spans="1:26" hidden="1" x14ac:dyDescent="0.25">
      <c r="A73" s="196" t="str">
        <f t="shared" si="17"/>
        <v>Korn</v>
      </c>
      <c r="B73" s="196" t="str">
        <f t="shared" si="18"/>
        <v>Halm og strå</v>
      </c>
      <c r="C73" s="196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6">
        <f t="shared" si="19"/>
        <v>2030</v>
      </c>
      <c r="E73" s="194" t="s">
        <v>24</v>
      </c>
      <c r="F73" s="197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2167292.6710484698</v>
      </c>
      <c r="G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2939607.6009978116</v>
      </c>
      <c r="H73" s="194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0</v>
      </c>
      <c r="K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7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9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6">
        <f t="shared" si="9"/>
        <v>-1068247.9729724238</v>
      </c>
      <c r="O73" s="197">
        <f t="shared" si="20"/>
        <v>0</v>
      </c>
      <c r="P73" s="207">
        <f t="shared" si="10"/>
        <v>0</v>
      </c>
      <c r="Q73" s="194">
        <f>IFERROR(VLOOKUP(A73,[1]Energiindhold!$A$2:$C$11,3,FALSE),IFERROR(VLOOKUP(A73,[1]Biogasudbytte!$A$2:$B$18,2,FALSE)*[1]Energiindhold!$C$10,0))*O73</f>
        <v>0</v>
      </c>
      <c r="R73" s="194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0</v>
      </c>
      <c r="S73" s="194">
        <f>IFERROR(VLOOKUP(A73,[1]Biogasudbytte!$A$2:$B$18,2,FALSE)*[1]Energiindhold!$C$10,0)*J73*IFERROR(VLOOKUP(A73,Biogasanlæg!$F$3:$G$8,2,FALSE),1)</f>
        <v>0</v>
      </c>
      <c r="T73" s="195">
        <f t="shared" si="11"/>
        <v>0</v>
      </c>
      <c r="U73" s="193">
        <f>O73*IFERROR(VLOOKUP(A73,[1]Tørstofindhold!A$2:B$25,2,FALSE),0)</f>
        <v>0</v>
      </c>
      <c r="V73" s="194">
        <f>IF(D73=År1,P73,SUM(O73,P73))*IFERROR(VLOOKUP(A73,[1]Tørstofindhold!A$2:B$25,2,FALSE),0)</f>
        <v>0</v>
      </c>
      <c r="W73" s="194">
        <f>J73*IFERROR(VLOOKUP(A73,[1]Tørstofindhold!A$2:B$25,2,FALSE),0)</f>
        <v>0</v>
      </c>
      <c r="X73" s="195">
        <f t="shared" si="12"/>
        <v>0</v>
      </c>
      <c r="Y73" s="173">
        <f t="shared" si="21"/>
        <v>0</v>
      </c>
      <c r="Z73" s="104">
        <f t="shared" si="22"/>
        <v>1</v>
      </c>
    </row>
    <row r="74" spans="1:26" hidden="1" x14ac:dyDescent="0.25">
      <c r="A74" s="196" t="str">
        <f t="shared" si="17"/>
        <v>Kunstgødning</v>
      </c>
      <c r="B74" s="196" t="str">
        <f t="shared" si="18"/>
        <v/>
      </c>
      <c r="C74" s="196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6">
        <f t="shared" si="19"/>
        <v>2030</v>
      </c>
      <c r="E74" s="194" t="s">
        <v>24</v>
      </c>
      <c r="F74" s="197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4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7" t="e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#REF!</v>
      </c>
      <c r="L74" s="197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9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6" t="e">
        <f t="shared" ca="1" si="9"/>
        <v>#REF!</v>
      </c>
      <c r="O74" s="197">
        <f t="shared" si="20"/>
        <v>0</v>
      </c>
      <c r="P74" s="207">
        <f t="shared" si="10"/>
        <v>0</v>
      </c>
      <c r="Q74" s="194">
        <f>IFERROR(VLOOKUP(A74,[1]Energiindhold!$A$2:$C$11,3,FALSE),IFERROR(VLOOKUP(A74,[1]Biogasudbytte!$A$2:$B$18,2,FALSE)*[1]Energiindhold!$C$10,0))*O74</f>
        <v>0</v>
      </c>
      <c r="R74" s="194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4">
        <f>IFERROR(VLOOKUP(A74,[1]Biogasudbytte!$A$2:$B$18,2,FALSE)*[1]Energiindhold!$C$10,0)*J74*IFERROR(VLOOKUP(A74,Biogasanlæg!$F$3:$G$8,2,FALSE),1)</f>
        <v>0</v>
      </c>
      <c r="T74" s="195">
        <f t="shared" si="11"/>
        <v>0</v>
      </c>
      <c r="U74" s="193">
        <f>O74*IFERROR(VLOOKUP(A74,[1]Tørstofindhold!A$2:B$25,2,FALSE),0)</f>
        <v>0</v>
      </c>
      <c r="V74" s="194">
        <f>IF(D74=År1,P74,SUM(O74,P74))*IFERROR(VLOOKUP(A74,[1]Tørstofindhold!A$2:B$25,2,FALSE),0)</f>
        <v>0</v>
      </c>
      <c r="W74" s="194">
        <f>J74*IFERROR(VLOOKUP(A74,[1]Tørstofindhold!A$2:B$25,2,FALSE),0)</f>
        <v>0</v>
      </c>
      <c r="X74" s="195">
        <f t="shared" si="12"/>
        <v>0</v>
      </c>
      <c r="Y74" s="173" t="e">
        <f t="shared" ca="1" si="21"/>
        <v>#REF!</v>
      </c>
      <c r="Z74" s="104" t="e">
        <f t="shared" ca="1" si="22"/>
        <v>#REF!</v>
      </c>
    </row>
    <row r="75" spans="1:26" hidden="1" x14ac:dyDescent="0.25">
      <c r="A75" s="196" t="str">
        <f t="shared" si="17"/>
        <v>Kvæggylle</v>
      </c>
      <c r="B75" s="196" t="str">
        <f t="shared" si="18"/>
        <v>Husdyrgødning</v>
      </c>
      <c r="C75" s="196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6">
        <f t="shared" si="19"/>
        <v>2030</v>
      </c>
      <c r="E75" s="194" t="s">
        <v>24</v>
      </c>
      <c r="F75" s="197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5359836.7780819526</v>
      </c>
      <c r="G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4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4073475.9513422842</v>
      </c>
      <c r="K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852214.04771503038</v>
      </c>
      <c r="L75" s="197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9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6">
        <f t="shared" si="9"/>
        <v>434146.77902463824</v>
      </c>
      <c r="O75" s="197">
        <f t="shared" si="20"/>
        <v>434146.77902463824</v>
      </c>
      <c r="P75" s="207">
        <f t="shared" si="10"/>
        <v>4073475.9513422842</v>
      </c>
      <c r="Q75" s="194">
        <f>IFERROR(VLOOKUP(A75,[1]Energiindhold!$A$2:$C$11,3,FALSE),IFERROR(VLOOKUP(A75,[1]Biogasudbytte!$A$2:$B$18,2,FALSE)*[1]Energiindhold!$C$10,0))*O75</f>
        <v>0.21976075807448164</v>
      </c>
      <c r="R75" s="194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2.281713549884433</v>
      </c>
      <c r="S75" s="194">
        <f>IFERROR(VLOOKUP(A75,[1]Biogasudbytte!$A$2:$B$18,2,FALSE)*[1]Energiindhold!$C$10,0)*J75*IFERROR(VLOOKUP(A75,Biogasanlæg!$F$3:$G$8,2,FALSE),1)</f>
        <v>2.0619527918099512</v>
      </c>
      <c r="T75" s="195">
        <f t="shared" si="11"/>
        <v>0.21976075807448181</v>
      </c>
      <c r="U75" s="193">
        <f>O75*IFERROR(VLOOKUP(A75,[1]Tørstofindhold!A$2:B$25,2,FALSE),0)</f>
        <v>32995.155205872506</v>
      </c>
      <c r="V75" s="194">
        <f>IF(D75=År1,P75,SUM(O75,P75))*IFERROR(VLOOKUP(A75,[1]Tørstofindhold!A$2:B$25,2,FALSE),0)</f>
        <v>342579.3275078861</v>
      </c>
      <c r="W75" s="194">
        <f>J75*IFERROR(VLOOKUP(A75,[1]Tørstofindhold!A$2:B$25,2,FALSE),0)</f>
        <v>309584.17230201361</v>
      </c>
      <c r="X75" s="195">
        <f t="shared" si="12"/>
        <v>32995.155205872492</v>
      </c>
      <c r="Y75" s="173">
        <f t="shared" si="21"/>
        <v>0</v>
      </c>
      <c r="Z75" s="104">
        <f t="shared" si="22"/>
        <v>1</v>
      </c>
    </row>
    <row r="76" spans="1:26" hidden="1" x14ac:dyDescent="0.25">
      <c r="A76" s="196" t="str">
        <f t="shared" si="17"/>
        <v>Mælk til foder</v>
      </c>
      <c r="B76" s="196" t="str">
        <f t="shared" si="18"/>
        <v/>
      </c>
      <c r="C76" s="196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6">
        <f t="shared" si="19"/>
        <v>2030</v>
      </c>
      <c r="E76" s="194" t="s">
        <v>24</v>
      </c>
      <c r="F76" s="197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673118.25417909713</v>
      </c>
      <c r="G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757857.08683350566</v>
      </c>
      <c r="H76" s="194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7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9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6">
        <f t="shared" si="9"/>
        <v>-84738.832654408528</v>
      </c>
      <c r="O76" s="197">
        <f t="shared" si="20"/>
        <v>0</v>
      </c>
      <c r="P76" s="207">
        <f t="shared" si="10"/>
        <v>0</v>
      </c>
      <c r="Q76" s="194">
        <f>IFERROR(VLOOKUP(A76,[1]Energiindhold!$A$2:$C$11,3,FALSE),IFERROR(VLOOKUP(A76,[1]Biogasudbytte!$A$2:$B$18,2,FALSE)*[1]Energiindhold!$C$10,0))*O76</f>
        <v>0</v>
      </c>
      <c r="R76" s="194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4">
        <f>IFERROR(VLOOKUP(A76,[1]Biogasudbytte!$A$2:$B$18,2,FALSE)*[1]Energiindhold!$C$10,0)*J76*IFERROR(VLOOKUP(A76,Biogasanlæg!$F$3:$G$8,2,FALSE),1)</f>
        <v>0</v>
      </c>
      <c r="T76" s="195">
        <f t="shared" si="11"/>
        <v>0</v>
      </c>
      <c r="U76" s="193">
        <f>O76*IFERROR(VLOOKUP(A76,[1]Tørstofindhold!A$2:B$25,2,FALSE),0)</f>
        <v>0</v>
      </c>
      <c r="V76" s="194">
        <f>IF(D76=År1,P76,SUM(O76,P76))*IFERROR(VLOOKUP(A76,[1]Tørstofindhold!A$2:B$25,2,FALSE),0)</f>
        <v>0</v>
      </c>
      <c r="W76" s="194">
        <f>J76*IFERROR(VLOOKUP(A76,[1]Tørstofindhold!A$2:B$25,2,FALSE),0)</f>
        <v>0</v>
      </c>
      <c r="X76" s="195">
        <f t="shared" si="12"/>
        <v>0</v>
      </c>
      <c r="Y76" s="173">
        <f t="shared" si="21"/>
        <v>1</v>
      </c>
      <c r="Z76" s="104">
        <f t="shared" si="22"/>
        <v>0</v>
      </c>
    </row>
    <row r="77" spans="1:26" hidden="1" x14ac:dyDescent="0.25">
      <c r="A77" s="196" t="str">
        <f t="shared" si="17"/>
        <v>Majs</v>
      </c>
      <c r="B77" s="196" t="str">
        <f t="shared" si="18"/>
        <v>Græs og urter</v>
      </c>
      <c r="C77" s="196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6">
        <f t="shared" si="19"/>
        <v>2030</v>
      </c>
      <c r="E77" s="194" t="s">
        <v>24</v>
      </c>
      <c r="F77" s="197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3542262.6085471725</v>
      </c>
      <c r="G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2828526.8932349812</v>
      </c>
      <c r="H77" s="194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0</v>
      </c>
      <c r="K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7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9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6">
        <f t="shared" si="9"/>
        <v>713735.71531219129</v>
      </c>
      <c r="O77" s="197">
        <f t="shared" si="20"/>
        <v>691370.57654557168</v>
      </c>
      <c r="P77" s="207">
        <f t="shared" si="10"/>
        <v>0</v>
      </c>
      <c r="Q77" s="194">
        <f>IFERROR(VLOOKUP(A77,[1]Energiindhold!$A$2:$C$11,3,FALSE),IFERROR(VLOOKUP(A77,[1]Biogasudbytte!$A$2:$B$18,2,FALSE)*[1]Energiindhold!$C$10,0))*O77</f>
        <v>2.4820203697986027</v>
      </c>
      <c r="R77" s="194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2.4820203697986027</v>
      </c>
      <c r="S77" s="194">
        <f>IFERROR(VLOOKUP(A77,[1]Biogasudbytte!$A$2:$B$18,2,FALSE)*[1]Energiindhold!$C$10,0)*J77*IFERROR(VLOOKUP(A77,Biogasanlæg!$F$3:$G$8,2,FALSE),1)</f>
        <v>0</v>
      </c>
      <c r="T77" s="195">
        <f t="shared" si="11"/>
        <v>2.4820203697986027</v>
      </c>
      <c r="U77" s="193">
        <f>O77*IFERROR(VLOOKUP(A77,[1]Tørstofindhold!A$2:B$25,2,FALSE),0)</f>
        <v>207411.1729636715</v>
      </c>
      <c r="V77" s="194">
        <f>IF(D77=År1,P77,SUM(O77,P77))*IFERROR(VLOOKUP(A77,[1]Tørstofindhold!A$2:B$25,2,FALSE),0)</f>
        <v>207411.1729636715</v>
      </c>
      <c r="W77" s="194">
        <f>J77*IFERROR(VLOOKUP(A77,[1]Tørstofindhold!A$2:B$25,2,FALSE),0)</f>
        <v>0</v>
      </c>
      <c r="X77" s="195">
        <f t="shared" si="12"/>
        <v>207411.1729636715</v>
      </c>
      <c r="Y77" s="173">
        <f t="shared" si="21"/>
        <v>0</v>
      </c>
      <c r="Z77" s="104">
        <f t="shared" si="22"/>
        <v>1</v>
      </c>
    </row>
    <row r="78" spans="1:26" hidden="1" x14ac:dyDescent="0.25">
      <c r="A78" s="196" t="str">
        <f t="shared" si="17"/>
        <v>Mejeriprodukter</v>
      </c>
      <c r="B78" s="196" t="str">
        <f t="shared" si="18"/>
        <v/>
      </c>
      <c r="C78" s="196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6">
        <f t="shared" si="19"/>
        <v>2030</v>
      </c>
      <c r="E78" s="194" t="s">
        <v>24</v>
      </c>
      <c r="F78" s="197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1298768.8893653844</v>
      </c>
      <c r="G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4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7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9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6">
        <f t="shared" si="9"/>
        <v>826362.01334688626</v>
      </c>
      <c r="O78" s="197">
        <f t="shared" si="20"/>
        <v>0</v>
      </c>
      <c r="P78" s="207">
        <f t="shared" si="10"/>
        <v>0</v>
      </c>
      <c r="Q78" s="194">
        <f>IFERROR(VLOOKUP(A78,[1]Energiindhold!$A$2:$C$11,3,FALSE),IFERROR(VLOOKUP(A78,[1]Biogasudbytte!$A$2:$B$18,2,FALSE)*[1]Energiindhold!$C$10,0))*O78</f>
        <v>0</v>
      </c>
      <c r="R78" s="194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4">
        <f>IFERROR(VLOOKUP(A78,[1]Biogasudbytte!$A$2:$B$18,2,FALSE)*[1]Energiindhold!$C$10,0)*J78*IFERROR(VLOOKUP(A78,Biogasanlæg!$F$3:$G$8,2,FALSE),1)</f>
        <v>0</v>
      </c>
      <c r="T78" s="195">
        <f t="shared" si="11"/>
        <v>0</v>
      </c>
      <c r="U78" s="193">
        <f>O78*IFERROR(VLOOKUP(A78,[1]Tørstofindhold!A$2:B$25,2,FALSE),0)</f>
        <v>0</v>
      </c>
      <c r="V78" s="194">
        <f>IF(D78=År1,P78,SUM(O78,P78))*IFERROR(VLOOKUP(A78,[1]Tørstofindhold!A$2:B$25,2,FALSE),0)</f>
        <v>0</v>
      </c>
      <c r="W78" s="194">
        <f>J78*IFERROR(VLOOKUP(A78,[1]Tørstofindhold!A$2:B$25,2,FALSE),0)</f>
        <v>0</v>
      </c>
      <c r="X78" s="195">
        <f t="shared" si="12"/>
        <v>0</v>
      </c>
      <c r="Y78" s="173">
        <f t="shared" si="21"/>
        <v>0</v>
      </c>
      <c r="Z78" s="104">
        <f t="shared" si="22"/>
        <v>1</v>
      </c>
    </row>
    <row r="79" spans="1:26" hidden="1" x14ac:dyDescent="0.25">
      <c r="A79" s="196" t="str">
        <f t="shared" si="17"/>
        <v>Muslinger</v>
      </c>
      <c r="B79" s="196" t="str">
        <f t="shared" si="18"/>
        <v>Havbiomasse</v>
      </c>
      <c r="C79" s="196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6">
        <f t="shared" si="19"/>
        <v>2030</v>
      </c>
      <c r="E79" s="194" t="s">
        <v>24</v>
      </c>
      <c r="F79" s="197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4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7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9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6">
        <f t="shared" si="9"/>
        <v>144860.18825130421</v>
      </c>
      <c r="O79" s="197">
        <f t="shared" si="20"/>
        <v>144860.18825130421</v>
      </c>
      <c r="P79" s="207">
        <f t="shared" si="10"/>
        <v>0</v>
      </c>
      <c r="Q79" s="194">
        <f>IFERROR(VLOOKUP(A79,[1]Energiindhold!$A$2:$C$11,3,FALSE),IFERROR(VLOOKUP(A79,[1]Biogasudbytte!$A$2:$B$18,2,FALSE)*[1]Energiindhold!$C$10,0))*O79</f>
        <v>0.13001201895554554</v>
      </c>
      <c r="R79" s="194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4">
        <f>IFERROR(VLOOKUP(A79,[1]Biogasudbytte!$A$2:$B$18,2,FALSE)*[1]Energiindhold!$C$10,0)*J79*IFERROR(VLOOKUP(A79,Biogasanlæg!$F$3:$G$8,2,FALSE),1)</f>
        <v>0</v>
      </c>
      <c r="T79" s="195">
        <f t="shared" si="11"/>
        <v>0.13001201895554554</v>
      </c>
      <c r="U79" s="193">
        <f>O79*IFERROR(VLOOKUP(A79,[1]Tørstofindhold!A$2:B$25,2,FALSE),0)</f>
        <v>21729.028237695631</v>
      </c>
      <c r="V79" s="194">
        <f>IF(D79=År1,P79,SUM(O79,P79))*IFERROR(VLOOKUP(A79,[1]Tørstofindhold!A$2:B$25,2,FALSE),0)</f>
        <v>21729.028237695631</v>
      </c>
      <c r="W79" s="194">
        <f>J79*IFERROR(VLOOKUP(A79,[1]Tørstofindhold!A$2:B$25,2,FALSE),0)</f>
        <v>0</v>
      </c>
      <c r="X79" s="195">
        <f t="shared" si="12"/>
        <v>21729.028237695631</v>
      </c>
      <c r="Y79" s="173">
        <f t="shared" si="21"/>
        <v>0</v>
      </c>
      <c r="Z79" s="104">
        <f t="shared" si="22"/>
        <v>1</v>
      </c>
    </row>
    <row r="80" spans="1:26" hidden="1" x14ac:dyDescent="0.25">
      <c r="A80" s="196" t="str">
        <f t="shared" si="17"/>
        <v>Oksekød</v>
      </c>
      <c r="B80" s="196" t="str">
        <f t="shared" si="18"/>
        <v/>
      </c>
      <c r="C80" s="196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6">
        <f t="shared" si="19"/>
        <v>2030</v>
      </c>
      <c r="E80" s="194" t="s">
        <v>24</v>
      </c>
      <c r="F80" s="197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37662.715228391091</v>
      </c>
      <c r="G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4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30014.126519451132</v>
      </c>
      <c r="J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7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9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6">
        <f t="shared" si="9"/>
        <v>7648.5887089399585</v>
      </c>
      <c r="O80" s="197">
        <f t="shared" si="20"/>
        <v>0</v>
      </c>
      <c r="P80" s="207">
        <f t="shared" si="10"/>
        <v>0</v>
      </c>
      <c r="Q80" s="194">
        <f>IFERROR(VLOOKUP(A80,[1]Energiindhold!$A$2:$C$11,3,FALSE),IFERROR(VLOOKUP(A80,[1]Biogasudbytte!$A$2:$B$18,2,FALSE)*[1]Energiindhold!$C$10,0))*O80</f>
        <v>0</v>
      </c>
      <c r="R80" s="194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4">
        <f>IFERROR(VLOOKUP(A80,[1]Biogasudbytte!$A$2:$B$18,2,FALSE)*[1]Energiindhold!$C$10,0)*J80*IFERROR(VLOOKUP(A80,Biogasanlæg!$F$3:$G$8,2,FALSE),1)</f>
        <v>0</v>
      </c>
      <c r="T80" s="195">
        <f t="shared" si="11"/>
        <v>0</v>
      </c>
      <c r="U80" s="193">
        <f>O80*IFERROR(VLOOKUP(A80,[1]Tørstofindhold!A$2:B$25,2,FALSE),0)</f>
        <v>0</v>
      </c>
      <c r="V80" s="194">
        <f>IF(D80=År1,P80,SUM(O80,P80))*IFERROR(VLOOKUP(A80,[1]Tørstofindhold!A$2:B$25,2,FALSE),0)</f>
        <v>0</v>
      </c>
      <c r="W80" s="194">
        <f>J80*IFERROR(VLOOKUP(A80,[1]Tørstofindhold!A$2:B$25,2,FALSE),0)</f>
        <v>0</v>
      </c>
      <c r="X80" s="195">
        <f t="shared" si="12"/>
        <v>0</v>
      </c>
      <c r="Y80" s="173">
        <f t="shared" si="21"/>
        <v>1</v>
      </c>
      <c r="Z80" s="104">
        <f t="shared" si="22"/>
        <v>0</v>
      </c>
    </row>
    <row r="81" spans="1:26" hidden="1" x14ac:dyDescent="0.25">
      <c r="A81" s="196" t="str">
        <f t="shared" si="17"/>
        <v>Øvrige</v>
      </c>
      <c r="B81" s="196" t="str">
        <f t="shared" si="18"/>
        <v/>
      </c>
      <c r="C81" s="196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6">
        <f t="shared" si="19"/>
        <v>2030</v>
      </c>
      <c r="E81" s="194" t="s">
        <v>24</v>
      </c>
      <c r="F81" s="197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997813.12750469695</v>
      </c>
      <c r="G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4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7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9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6">
        <f t="shared" si="9"/>
        <v>997813.12750469695</v>
      </c>
      <c r="O81" s="197">
        <f t="shared" si="20"/>
        <v>0</v>
      </c>
      <c r="P81" s="207">
        <f t="shared" si="10"/>
        <v>0</v>
      </c>
      <c r="Q81" s="194">
        <f>IFERROR(VLOOKUP(A81,[1]Energiindhold!$A$2:$C$11,3,FALSE),IFERROR(VLOOKUP(A81,[1]Biogasudbytte!$A$2:$B$18,2,FALSE)*[1]Energiindhold!$C$10,0))*O81</f>
        <v>0</v>
      </c>
      <c r="R81" s="194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4">
        <f>IFERROR(VLOOKUP(A81,[1]Biogasudbytte!$A$2:$B$18,2,FALSE)*[1]Energiindhold!$C$10,0)*J81*IFERROR(VLOOKUP(A81,Biogasanlæg!$F$3:$G$8,2,FALSE),1)</f>
        <v>0</v>
      </c>
      <c r="T81" s="195">
        <f t="shared" si="11"/>
        <v>0</v>
      </c>
      <c r="U81" s="193">
        <f>O81*IFERROR(VLOOKUP(A81,[1]Tørstofindhold!A$2:B$25,2,FALSE),0)</f>
        <v>0</v>
      </c>
      <c r="V81" s="194">
        <f>IF(D81=År1,P81,SUM(O81,P81))*IFERROR(VLOOKUP(A81,[1]Tørstofindhold!A$2:B$25,2,FALSE),0)</f>
        <v>0</v>
      </c>
      <c r="W81" s="194">
        <f>J81*IFERROR(VLOOKUP(A81,[1]Tørstofindhold!A$2:B$25,2,FALSE),0)</f>
        <v>0</v>
      </c>
      <c r="X81" s="195">
        <f t="shared" si="12"/>
        <v>0</v>
      </c>
      <c r="Y81" s="173">
        <f t="shared" si="21"/>
        <v>0</v>
      </c>
      <c r="Z81" s="104">
        <f t="shared" si="22"/>
        <v>1</v>
      </c>
    </row>
    <row r="82" spans="1:26" hidden="1" x14ac:dyDescent="0.25">
      <c r="A82" s="196" t="str">
        <f t="shared" si="17"/>
        <v>Pil &amp; poppel</v>
      </c>
      <c r="B82" s="196" t="str">
        <f t="shared" si="18"/>
        <v>Vedmasse</v>
      </c>
      <c r="C82" s="196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6">
        <f t="shared" si="19"/>
        <v>2030</v>
      </c>
      <c r="E82" s="194" t="s">
        <v>24</v>
      </c>
      <c r="F82" s="197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85201.780821949884</v>
      </c>
      <c r="G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4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7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85201.780821949884</v>
      </c>
      <c r="M82" s="159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6">
        <f t="shared" ref="N82:N149" si="23">F82-SUM(G82:M82)</f>
        <v>0</v>
      </c>
      <c r="O82" s="197">
        <f t="shared" si="20"/>
        <v>0</v>
      </c>
      <c r="P82" s="207">
        <f t="shared" ref="P82:P149" si="24">SUM(J82,L82)</f>
        <v>85201.780821949884</v>
      </c>
      <c r="Q82" s="194">
        <f>IFERROR(VLOOKUP(A82,[1]Energiindhold!$A$2:$C$11,3,FALSE),IFERROR(VLOOKUP(A82,[1]Biogasudbytte!$A$2:$B$18,2,FALSE)*[1]Energiindhold!$C$10,0))*O82</f>
        <v>0</v>
      </c>
      <c r="R82" s="194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1.5677127671238775</v>
      </c>
      <c r="S82" s="194">
        <f>IFERROR(VLOOKUP(A82,[1]Biogasudbytte!$A$2:$B$18,2,FALSE)*[1]Energiindhold!$C$10,0)*J82*IFERROR(VLOOKUP(A82,Biogasanlæg!$F$3:$G$8,2,FALSE),1)</f>
        <v>0</v>
      </c>
      <c r="T82" s="195">
        <f t="shared" ref="T82:T149" si="25">R82-S82</f>
        <v>1.5677127671238775</v>
      </c>
      <c r="U82" s="193">
        <f>O82*IFERROR(VLOOKUP(A82,[1]Tørstofindhold!A$2:B$25,2,FALSE),0)</f>
        <v>0</v>
      </c>
      <c r="V82" s="194">
        <f>IF(D82=År1,P82,SUM(O82,P82))*IFERROR(VLOOKUP(A82,[1]Tørstofindhold!A$2:B$25,2,FALSE),0)</f>
        <v>35358.739041109206</v>
      </c>
      <c r="W82" s="194">
        <f>J82*IFERROR(VLOOKUP(A82,[1]Tørstofindhold!A$2:B$25,2,FALSE),0)</f>
        <v>0</v>
      </c>
      <c r="X82" s="195">
        <f t="shared" ref="X82:X149" si="26">V82-W82</f>
        <v>35358.739041109206</v>
      </c>
      <c r="Y82" s="173">
        <f t="shared" si="21"/>
        <v>0</v>
      </c>
      <c r="Z82" s="104">
        <f t="shared" si="22"/>
        <v>0</v>
      </c>
    </row>
    <row r="83" spans="1:26" hidden="1" x14ac:dyDescent="0.25">
      <c r="A83" s="196" t="str">
        <f t="shared" ref="A83:A84" si="27">A35</f>
        <v>Pyrolysegas</v>
      </c>
      <c r="B83" s="196" t="str">
        <f t="shared" ref="B83:B84" si="28">IF(B35&lt;&gt;"",B35,"")</f>
        <v>Pyrolyseprodukter</v>
      </c>
      <c r="C83" s="196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6">
        <f t="shared" si="19"/>
        <v>2030</v>
      </c>
      <c r="E83" s="194" t="s">
        <v>24</v>
      </c>
      <c r="F83" s="197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4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7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9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6">
        <f t="shared" ref="N83:N84" si="29">F83-SUM(G83:M83)</f>
        <v>0</v>
      </c>
      <c r="O83" s="197">
        <f t="shared" si="20"/>
        <v>0</v>
      </c>
      <c r="P83" s="207">
        <f t="shared" ref="P83:P84" si="30">SUM(J83,L83)</f>
        <v>0</v>
      </c>
      <c r="Q83" s="194">
        <f>IFERROR(VLOOKUP(A83,[1]Energiindhold!$A$2:$C$11,3,FALSE),IFERROR(VLOOKUP(A83,[1]Biogasudbytte!$A$2:$B$18,2,FALSE)*[1]Energiindhold!$C$10,0))*O83</f>
        <v>0</v>
      </c>
      <c r="R83" s="194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4">
        <f>IFERROR(VLOOKUP(A83,[1]Biogasudbytte!$A$2:$B$18,2,FALSE)*[1]Energiindhold!$C$10,0)*J83*IFERROR(VLOOKUP(A83,Biogasanlæg!$F$3:$G$8,2,FALSE),1)</f>
        <v>0</v>
      </c>
      <c r="T83" s="195">
        <f t="shared" ref="T83:T84" si="31">R83-S83</f>
        <v>0</v>
      </c>
      <c r="U83" s="193">
        <f>O83*IFERROR(VLOOKUP(A83,[1]Tørstofindhold!A$2:B$25,2,FALSE),0)</f>
        <v>0</v>
      </c>
      <c r="V83" s="194">
        <f>IF(D83=År1,P83,SUM(O83,P83))*IFERROR(VLOOKUP(A83,[1]Tørstofindhold!A$2:B$25,2,FALSE),0)</f>
        <v>0</v>
      </c>
      <c r="W83" s="194">
        <f>J83*IFERROR(VLOOKUP(A83,[1]Tørstofindhold!A$2:B$25,2,FALSE),0)</f>
        <v>0</v>
      </c>
      <c r="X83" s="195">
        <f t="shared" ref="X83:X84" si="32">V83-W83</f>
        <v>0</v>
      </c>
      <c r="Y83" s="173">
        <f t="shared" si="21"/>
        <v>0</v>
      </c>
      <c r="Z83" s="104">
        <f t="shared" si="22"/>
        <v>0</v>
      </c>
    </row>
    <row r="84" spans="1:26" hidden="1" x14ac:dyDescent="0.25">
      <c r="A84" s="196" t="str">
        <f t="shared" si="27"/>
        <v>Pyrolyseolie</v>
      </c>
      <c r="B84" s="196" t="str">
        <f t="shared" si="28"/>
        <v>Pyrolyseprodukter</v>
      </c>
      <c r="C84" s="196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6">
        <f t="shared" si="19"/>
        <v>2030</v>
      </c>
      <c r="E84" s="194" t="s">
        <v>24</v>
      </c>
      <c r="F84" s="197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4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7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9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6">
        <f t="shared" si="29"/>
        <v>0</v>
      </c>
      <c r="O84" s="197">
        <f t="shared" si="20"/>
        <v>0</v>
      </c>
      <c r="P84" s="207">
        <f t="shared" si="30"/>
        <v>0</v>
      </c>
      <c r="Q84" s="194">
        <f>IFERROR(VLOOKUP(A84,[1]Energiindhold!$A$2:$C$11,3,FALSE),IFERROR(VLOOKUP(A84,[1]Biogasudbytte!$A$2:$B$18,2,FALSE)*[1]Energiindhold!$C$10,0))*O84</f>
        <v>0</v>
      </c>
      <c r="R84" s="194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4">
        <f>IFERROR(VLOOKUP(A84,[1]Biogasudbytte!$A$2:$B$18,2,FALSE)*[1]Energiindhold!$C$10,0)*J84*IFERROR(VLOOKUP(A84,Biogasanlæg!$F$3:$G$8,2,FALSE),1)</f>
        <v>0</v>
      </c>
      <c r="T84" s="195">
        <f t="shared" si="31"/>
        <v>0</v>
      </c>
      <c r="U84" s="193">
        <f>O84*IFERROR(VLOOKUP(A84,[1]Tørstofindhold!A$2:B$25,2,FALSE),0)</f>
        <v>0</v>
      </c>
      <c r="V84" s="194">
        <f>IF(D84=År1,P84,SUM(O84,P84))*IFERROR(VLOOKUP(A84,[1]Tørstofindhold!A$2:B$25,2,FALSE),0)</f>
        <v>0</v>
      </c>
      <c r="W84" s="194">
        <f>J84*IFERROR(VLOOKUP(A84,[1]Tørstofindhold!A$2:B$25,2,FALSE),0)</f>
        <v>0</v>
      </c>
      <c r="X84" s="195">
        <f t="shared" si="32"/>
        <v>0</v>
      </c>
      <c r="Y84" s="173">
        <f t="shared" si="21"/>
        <v>0</v>
      </c>
      <c r="Z84" s="104">
        <f t="shared" si="22"/>
        <v>0</v>
      </c>
    </row>
    <row r="85" spans="1:26" hidden="1" x14ac:dyDescent="0.25">
      <c r="A85" s="196" t="str">
        <f t="shared" ref="A85:A130" si="33">A37</f>
        <v>Råmælk</v>
      </c>
      <c r="B85" s="196" t="str">
        <f t="shared" ref="B85:B130" si="34">IF(B37&lt;&gt;"",B37,"")</f>
        <v/>
      </c>
      <c r="C85" s="196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6">
        <f t="shared" si="19"/>
        <v>2030</v>
      </c>
      <c r="E85" s="194" t="s">
        <v>24</v>
      </c>
      <c r="F85" s="197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2022448.3523533144</v>
      </c>
      <c r="G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4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7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9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6">
        <f t="shared" si="23"/>
        <v>2022448.3523533144</v>
      </c>
      <c r="O85" s="197">
        <f t="shared" si="20"/>
        <v>0</v>
      </c>
      <c r="P85" s="207">
        <f t="shared" si="24"/>
        <v>0</v>
      </c>
      <c r="Q85" s="194">
        <f>IFERROR(VLOOKUP(A85,[1]Energiindhold!$A$2:$C$11,3,FALSE),IFERROR(VLOOKUP(A85,[1]Biogasudbytte!$A$2:$B$18,2,FALSE)*[1]Energiindhold!$C$10,0))*O85</f>
        <v>0</v>
      </c>
      <c r="R85" s="194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4">
        <f>IFERROR(VLOOKUP(A85,[1]Biogasudbytte!$A$2:$B$18,2,FALSE)*[1]Energiindhold!$C$10,0)*J85*IFERROR(VLOOKUP(A85,Biogasanlæg!$F$3:$G$8,2,FALSE),1)</f>
        <v>0</v>
      </c>
      <c r="T85" s="195">
        <f t="shared" si="25"/>
        <v>0</v>
      </c>
      <c r="U85" s="193">
        <f>O85*IFERROR(VLOOKUP(A85,[1]Tørstofindhold!A$2:B$25,2,FALSE),0)</f>
        <v>0</v>
      </c>
      <c r="V85" s="194">
        <f>IF(D85=År1,P85,SUM(O85,P85))*IFERROR(VLOOKUP(A85,[1]Tørstofindhold!A$2:B$25,2,FALSE),0)</f>
        <v>0</v>
      </c>
      <c r="W85" s="194">
        <f>J85*IFERROR(VLOOKUP(A85,[1]Tørstofindhold!A$2:B$25,2,FALSE),0)</f>
        <v>0</v>
      </c>
      <c r="X85" s="195">
        <f t="shared" si="26"/>
        <v>0</v>
      </c>
      <c r="Y85" s="173">
        <f t="shared" si="21"/>
        <v>0</v>
      </c>
      <c r="Z85" s="104">
        <f t="shared" si="22"/>
        <v>1</v>
      </c>
    </row>
    <row r="86" spans="1:26" hidden="1" x14ac:dyDescent="0.25">
      <c r="A86" s="196" t="str">
        <f t="shared" si="33"/>
        <v>Raps</v>
      </c>
      <c r="B86" s="196" t="str">
        <f t="shared" si="34"/>
        <v/>
      </c>
      <c r="C86" s="196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6">
        <f t="shared" si="19"/>
        <v>2030</v>
      </c>
      <c r="E86" s="194" t="s">
        <v>24</v>
      </c>
      <c r="F86" s="197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304634.88719504897</v>
      </c>
      <c r="G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4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7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9">
        <f>SUMIFS('Forbrug af biomasse'!E:E,'Forbrug af biomasse'!C:C,'Resultat-Produktion &amp; forbrug'!$A86,'Forbrug af biomasse'!D:D,'Resultat-Produktion &amp; forbrug'!$D86,'Forbrug af biomasse'!G:G,1,'Forbrug af biomasse'!B:B,$E86)</f>
        <v>304634.88719504897</v>
      </c>
      <c r="N86" s="206">
        <f t="shared" si="23"/>
        <v>0</v>
      </c>
      <c r="O86" s="197">
        <f t="shared" si="20"/>
        <v>0</v>
      </c>
      <c r="P86" s="207">
        <f t="shared" si="24"/>
        <v>0</v>
      </c>
      <c r="Q86" s="194">
        <f>IFERROR(VLOOKUP(A86,[1]Energiindhold!$A$2:$C$11,3,FALSE),IFERROR(VLOOKUP(A86,[1]Biogasudbytte!$A$2:$B$18,2,FALSE)*[1]Energiindhold!$C$10,0))*O86</f>
        <v>0</v>
      </c>
      <c r="R86" s="194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4">
        <f>IFERROR(VLOOKUP(A86,[1]Biogasudbytte!$A$2:$B$18,2,FALSE)*[1]Energiindhold!$C$10,0)*J86*IFERROR(VLOOKUP(A86,Biogasanlæg!$F$3:$G$8,2,FALSE),1)</f>
        <v>0</v>
      </c>
      <c r="T86" s="195">
        <f t="shared" si="25"/>
        <v>0</v>
      </c>
      <c r="U86" s="193">
        <f>O86*IFERROR(VLOOKUP(A86,[1]Tørstofindhold!A$2:B$25,2,FALSE),0)</f>
        <v>0</v>
      </c>
      <c r="V86" s="194">
        <f>IF(D86=År1,P86,SUM(O86,P86))*IFERROR(VLOOKUP(A86,[1]Tørstofindhold!A$2:B$25,2,FALSE),0)</f>
        <v>0</v>
      </c>
      <c r="W86" s="194">
        <f>J86*IFERROR(VLOOKUP(A86,[1]Tørstofindhold!A$2:B$25,2,FALSE),0)</f>
        <v>0</v>
      </c>
      <c r="X86" s="195">
        <f t="shared" si="26"/>
        <v>0</v>
      </c>
      <c r="Y86" s="173">
        <f t="shared" si="21"/>
        <v>0</v>
      </c>
      <c r="Z86" s="104">
        <f t="shared" si="22"/>
        <v>0</v>
      </c>
    </row>
    <row r="87" spans="1:26" hidden="1" x14ac:dyDescent="0.25">
      <c r="A87" s="196" t="str">
        <f t="shared" si="33"/>
        <v>Rapskage</v>
      </c>
      <c r="B87" s="196" t="str">
        <f t="shared" si="34"/>
        <v/>
      </c>
      <c r="C87" s="196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6">
        <f t="shared" si="19"/>
        <v>2030</v>
      </c>
      <c r="E87" s="194" t="s">
        <v>24</v>
      </c>
      <c r="F87" s="197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152317.44359752449</v>
      </c>
      <c r="G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107049.55304563112</v>
      </c>
      <c r="H87" s="194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7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9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6">
        <f t="shared" si="23"/>
        <v>45267.890551893361</v>
      </c>
      <c r="O87" s="197">
        <f t="shared" si="20"/>
        <v>0</v>
      </c>
      <c r="P87" s="207">
        <f t="shared" si="24"/>
        <v>0</v>
      </c>
      <c r="Q87" s="194">
        <f>IFERROR(VLOOKUP(A87,[1]Energiindhold!$A$2:$C$11,3,FALSE),IFERROR(VLOOKUP(A87,[1]Biogasudbytte!$A$2:$B$18,2,FALSE)*[1]Energiindhold!$C$10,0))*O87</f>
        <v>0</v>
      </c>
      <c r="R87" s="194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4">
        <f>IFERROR(VLOOKUP(A87,[1]Biogasudbytte!$A$2:$B$18,2,FALSE)*[1]Energiindhold!$C$10,0)*J87*IFERROR(VLOOKUP(A87,Biogasanlæg!$F$3:$G$8,2,FALSE),1)</f>
        <v>0</v>
      </c>
      <c r="T87" s="195">
        <f t="shared" si="25"/>
        <v>0</v>
      </c>
      <c r="U87" s="193">
        <f>O87*IFERROR(VLOOKUP(A87,[1]Tørstofindhold!A$2:B$25,2,FALSE),0)</f>
        <v>0</v>
      </c>
      <c r="V87" s="194">
        <f>IF(D87=År1,P87,SUM(O87,P87))*IFERROR(VLOOKUP(A87,[1]Tørstofindhold!A$2:B$25,2,FALSE),0)</f>
        <v>0</v>
      </c>
      <c r="W87" s="194">
        <f>J87*IFERROR(VLOOKUP(A87,[1]Tørstofindhold!A$2:B$25,2,FALSE),0)</f>
        <v>0</v>
      </c>
      <c r="X87" s="195">
        <f t="shared" si="26"/>
        <v>0</v>
      </c>
      <c r="Y87" s="173">
        <f t="shared" si="21"/>
        <v>0</v>
      </c>
      <c r="Z87" s="104">
        <f t="shared" si="22"/>
        <v>1</v>
      </c>
    </row>
    <row r="88" spans="1:26" hidden="1" x14ac:dyDescent="0.25">
      <c r="A88" s="196" t="str">
        <f t="shared" si="33"/>
        <v>Rapsolie</v>
      </c>
      <c r="B88" s="196" t="str">
        <f t="shared" si="34"/>
        <v>Rapsolie</v>
      </c>
      <c r="C88" s="196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6">
        <f t="shared" si="19"/>
        <v>2030</v>
      </c>
      <c r="E88" s="194" t="s">
        <v>24</v>
      </c>
      <c r="F88" s="197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97483.163902415676</v>
      </c>
      <c r="G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4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7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97483.163902415676</v>
      </c>
      <c r="M88" s="159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6">
        <f t="shared" si="23"/>
        <v>0</v>
      </c>
      <c r="O88" s="197">
        <f t="shared" si="20"/>
        <v>0</v>
      </c>
      <c r="P88" s="207">
        <f t="shared" si="24"/>
        <v>97483.163902415676</v>
      </c>
      <c r="Q88" s="194">
        <f>IFERROR(VLOOKUP(A88,[1]Energiindhold!$A$2:$C$11,3,FALSE),IFERROR(VLOOKUP(A88,[1]Biogasudbytte!$A$2:$B$18,2,FALSE)*[1]Energiindhold!$C$10,0))*O88</f>
        <v>0</v>
      </c>
      <c r="R88" s="194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3.4119107365845482</v>
      </c>
      <c r="S88" s="194">
        <f>IFERROR(VLOOKUP(A88,[1]Biogasudbytte!$A$2:$B$18,2,FALSE)*[1]Energiindhold!$C$10,0)*J88*IFERROR(VLOOKUP(A88,Biogasanlæg!$F$3:$G$8,2,FALSE),1)</f>
        <v>0</v>
      </c>
      <c r="T88" s="195">
        <f t="shared" si="25"/>
        <v>3.4119107365845482</v>
      </c>
      <c r="U88" s="193">
        <f>O88*IFERROR(VLOOKUP(A88,[1]Tørstofindhold!A$2:B$25,2,FALSE),0)</f>
        <v>0</v>
      </c>
      <c r="V88" s="194">
        <f>IF(D88=År1,P88,SUM(O88,P88))*IFERROR(VLOOKUP(A88,[1]Tørstofindhold!A$2:B$25,2,FALSE),0)</f>
        <v>88709.679151198274</v>
      </c>
      <c r="W88" s="194">
        <f>J88*IFERROR(VLOOKUP(A88,[1]Tørstofindhold!A$2:B$25,2,FALSE),0)</f>
        <v>0</v>
      </c>
      <c r="X88" s="195">
        <f t="shared" si="26"/>
        <v>88709.679151198274</v>
      </c>
      <c r="Y88" s="173">
        <f t="shared" si="21"/>
        <v>0</v>
      </c>
      <c r="Z88" s="104">
        <f t="shared" si="22"/>
        <v>0</v>
      </c>
    </row>
    <row r="89" spans="1:26" hidden="1" x14ac:dyDescent="0.25">
      <c r="A89" s="196" t="str">
        <f t="shared" si="33"/>
        <v>Roer</v>
      </c>
      <c r="B89" s="196" t="str">
        <f t="shared" si="34"/>
        <v>Græs og urter</v>
      </c>
      <c r="C89" s="196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6">
        <f t="shared" si="19"/>
        <v>2030</v>
      </c>
      <c r="E89" s="194" t="s">
        <v>24</v>
      </c>
      <c r="F89" s="197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244501.84634790485</v>
      </c>
      <c r="G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420583.80882781441</v>
      </c>
      <c r="H89" s="194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0</v>
      </c>
      <c r="K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7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9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6">
        <f t="shared" si="23"/>
        <v>-176081.96247990956</v>
      </c>
      <c r="O89" s="197">
        <f t="shared" si="20"/>
        <v>0</v>
      </c>
      <c r="P89" s="207">
        <f t="shared" si="24"/>
        <v>0</v>
      </c>
      <c r="Q89" s="194">
        <f>IFERROR(VLOOKUP(A89,[1]Energiindhold!$A$2:$C$11,3,FALSE),IFERROR(VLOOKUP(A89,[1]Biogasudbytte!$A$2:$B$18,2,FALSE)*[1]Energiindhold!$C$10,0))*O89</f>
        <v>0</v>
      </c>
      <c r="R89" s="194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0</v>
      </c>
      <c r="S89" s="194">
        <f>IFERROR(VLOOKUP(A89,[1]Biogasudbytte!$A$2:$B$18,2,FALSE)*[1]Energiindhold!$C$10,0)*J89*IFERROR(VLOOKUP(A89,Biogasanlæg!$F$3:$G$8,2,FALSE),1)</f>
        <v>0</v>
      </c>
      <c r="T89" s="195">
        <f t="shared" si="25"/>
        <v>0</v>
      </c>
      <c r="U89" s="193">
        <f>O89*IFERROR(VLOOKUP(A89,[1]Tørstofindhold!A$2:B$25,2,FALSE),0)</f>
        <v>0</v>
      </c>
      <c r="V89" s="194">
        <f>IF(D89=År1,P89,SUM(O89,P89))*IFERROR(VLOOKUP(A89,[1]Tørstofindhold!A$2:B$25,2,FALSE),0)</f>
        <v>0</v>
      </c>
      <c r="W89" s="194">
        <f>J89*IFERROR(VLOOKUP(A89,[1]Tørstofindhold!A$2:B$25,2,FALSE),0)</f>
        <v>0</v>
      </c>
      <c r="X89" s="195">
        <f t="shared" si="26"/>
        <v>0</v>
      </c>
      <c r="Y89" s="173">
        <f t="shared" si="21"/>
        <v>0</v>
      </c>
      <c r="Z89" s="104">
        <f t="shared" si="22"/>
        <v>1</v>
      </c>
    </row>
    <row r="90" spans="1:26" hidden="1" x14ac:dyDescent="0.25">
      <c r="A90" s="196" t="str">
        <f t="shared" si="33"/>
        <v>Slagteriaffald til andet</v>
      </c>
      <c r="B90" s="196" t="str">
        <f t="shared" si="34"/>
        <v/>
      </c>
      <c r="C90" s="196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6">
        <f t="shared" si="19"/>
        <v>2030</v>
      </c>
      <c r="E90" s="194" t="s">
        <v>24</v>
      </c>
      <c r="F90" s="197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70212.674391725712</v>
      </c>
      <c r="G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4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7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9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6">
        <f t="shared" si="23"/>
        <v>70212.674391725712</v>
      </c>
      <c r="O90" s="197">
        <f t="shared" si="20"/>
        <v>0</v>
      </c>
      <c r="P90" s="207">
        <f t="shared" si="24"/>
        <v>0</v>
      </c>
      <c r="Q90" s="194">
        <f>IFERROR(VLOOKUP(A90,[1]Energiindhold!$A$2:$C$11,3,FALSE),IFERROR(VLOOKUP(A90,[1]Biogasudbytte!$A$2:$B$18,2,FALSE)*[1]Energiindhold!$C$10,0))*O90</f>
        <v>0</v>
      </c>
      <c r="R90" s="194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4">
        <f>IFERROR(VLOOKUP(A90,[1]Biogasudbytte!$A$2:$B$18,2,FALSE)*[1]Energiindhold!$C$10,0)*J90*IFERROR(VLOOKUP(A90,Biogasanlæg!$F$3:$G$8,2,FALSE),1)</f>
        <v>0</v>
      </c>
      <c r="T90" s="195">
        <f t="shared" si="25"/>
        <v>0</v>
      </c>
      <c r="U90" s="193">
        <f>O90*IFERROR(VLOOKUP(A90,[1]Tørstofindhold!A$2:B$25,2,FALSE),0)</f>
        <v>0</v>
      </c>
      <c r="V90" s="194">
        <f>IF(D90=År1,P90,SUM(O90,P90))*IFERROR(VLOOKUP(A90,[1]Tørstofindhold!A$2:B$25,2,FALSE),0)</f>
        <v>0</v>
      </c>
      <c r="W90" s="194">
        <f>J90*IFERROR(VLOOKUP(A90,[1]Tørstofindhold!A$2:B$25,2,FALSE),0)</f>
        <v>0</v>
      </c>
      <c r="X90" s="195">
        <f t="shared" si="26"/>
        <v>0</v>
      </c>
      <c r="Y90" s="173">
        <f t="shared" si="21"/>
        <v>0</v>
      </c>
      <c r="Z90" s="104">
        <f t="shared" si="22"/>
        <v>1</v>
      </c>
    </row>
    <row r="91" spans="1:26" hidden="1" x14ac:dyDescent="0.25">
      <c r="A91" s="196" t="str">
        <f t="shared" si="33"/>
        <v>Slagteriaffald til foder</v>
      </c>
      <c r="B91" s="196" t="str">
        <f t="shared" si="34"/>
        <v/>
      </c>
      <c r="C91" s="196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6">
        <f t="shared" si="19"/>
        <v>2030</v>
      </c>
      <c r="E91" s="194" t="s">
        <v>24</v>
      </c>
      <c r="F91" s="197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48453.238883082529</v>
      </c>
      <c r="G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19707.867506308663</v>
      </c>
      <c r="H91" s="194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7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9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6">
        <f t="shared" si="23"/>
        <v>28745.371376773866</v>
      </c>
      <c r="O91" s="197">
        <f t="shared" si="20"/>
        <v>0</v>
      </c>
      <c r="P91" s="207">
        <f t="shared" si="24"/>
        <v>0</v>
      </c>
      <c r="Q91" s="194">
        <f>IFERROR(VLOOKUP(A91,[1]Energiindhold!$A$2:$C$11,3,FALSE),IFERROR(VLOOKUP(A91,[1]Biogasudbytte!$A$2:$B$18,2,FALSE)*[1]Energiindhold!$C$10,0))*O91</f>
        <v>0</v>
      </c>
      <c r="R91" s="194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4">
        <f>IFERROR(VLOOKUP(A91,[1]Biogasudbytte!$A$2:$B$18,2,FALSE)*[1]Energiindhold!$C$10,0)*J91*IFERROR(VLOOKUP(A91,Biogasanlæg!$F$3:$G$8,2,FALSE),1)</f>
        <v>0</v>
      </c>
      <c r="T91" s="195">
        <f t="shared" si="25"/>
        <v>0</v>
      </c>
      <c r="U91" s="193">
        <f>O91*IFERROR(VLOOKUP(A91,[1]Tørstofindhold!A$2:B$25,2,FALSE),0)</f>
        <v>0</v>
      </c>
      <c r="V91" s="194">
        <f>IF(D91=År1,P91,SUM(O91,P91))*IFERROR(VLOOKUP(A91,[1]Tørstofindhold!A$2:B$25,2,FALSE),0)</f>
        <v>0</v>
      </c>
      <c r="W91" s="194">
        <f>J91*IFERROR(VLOOKUP(A91,[1]Tørstofindhold!A$2:B$25,2,FALSE),0)</f>
        <v>0</v>
      </c>
      <c r="X91" s="195">
        <f t="shared" si="26"/>
        <v>0</v>
      </c>
      <c r="Y91" s="173">
        <f t="shared" si="21"/>
        <v>0</v>
      </c>
      <c r="Z91" s="104">
        <f t="shared" si="22"/>
        <v>1</v>
      </c>
    </row>
    <row r="92" spans="1:26" hidden="1" x14ac:dyDescent="0.25">
      <c r="A92" s="196" t="str">
        <f t="shared" si="33"/>
        <v>Spildevandsslam</v>
      </c>
      <c r="B92" s="196" t="str">
        <f t="shared" si="34"/>
        <v>Bionedbrydeligt affald</v>
      </c>
      <c r="C92" s="196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6">
        <f t="shared" si="19"/>
        <v>2030</v>
      </c>
      <c r="E92" s="194" t="s">
        <v>24</v>
      </c>
      <c r="F92" s="197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3902711.417929336</v>
      </c>
      <c r="G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4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1480098.7941273053</v>
      </c>
      <c r="K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7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9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6">
        <f t="shared" si="23"/>
        <v>2422612.6238020305</v>
      </c>
      <c r="O92" s="197">
        <f t="shared" si="20"/>
        <v>2422612.6238020305</v>
      </c>
      <c r="P92" s="207">
        <f t="shared" si="24"/>
        <v>1480098.7941273053</v>
      </c>
      <c r="Q92" s="194">
        <f>IFERROR(VLOOKUP(A92,[1]Energiindhold!$A$2:$C$11,3,FALSE),IFERROR(VLOOKUP(A92,[1]Biogasudbytte!$A$2:$B$18,2,FALSE)*[1]Energiindhold!$C$10,0))*O92</f>
        <v>1.2089079254034514</v>
      </c>
      <c r="R92" s="194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1.9474920246609182</v>
      </c>
      <c r="S92" s="194">
        <f>IFERROR(VLOOKUP(A92,[1]Biogasudbytte!$A$2:$B$18,2,FALSE)*[1]Energiindhold!$C$10,0)*J92*IFERROR(VLOOKUP(A92,Biogasanlæg!$F$3:$G$8,2,FALSE),1)</f>
        <v>0.73858409925746671</v>
      </c>
      <c r="T92" s="195">
        <f t="shared" si="25"/>
        <v>1.2089079254034516</v>
      </c>
      <c r="U92" s="193">
        <f>O92*IFERROR(VLOOKUP(A92,[1]Tørstofindhold!A$2:B$25,2,FALSE),0)</f>
        <v>145356.75742812181</v>
      </c>
      <c r="V92" s="194">
        <f>IF(D92=År1,P92,SUM(O92,P92))*IFERROR(VLOOKUP(A92,[1]Tørstofindhold!A$2:B$25,2,FALSE),0)</f>
        <v>234162.68507576012</v>
      </c>
      <c r="W92" s="194">
        <f>J92*IFERROR(VLOOKUP(A92,[1]Tørstofindhold!A$2:B$25,2,FALSE),0)</f>
        <v>88805.927647638309</v>
      </c>
      <c r="X92" s="195">
        <f t="shared" si="26"/>
        <v>145356.75742812181</v>
      </c>
      <c r="Y92" s="173">
        <f t="shared" si="21"/>
        <v>0</v>
      </c>
      <c r="Z92" s="104">
        <f t="shared" si="22"/>
        <v>1</v>
      </c>
    </row>
    <row r="93" spans="1:26" hidden="1" x14ac:dyDescent="0.25">
      <c r="A93" s="196" t="str">
        <f t="shared" si="33"/>
        <v>Svinegylle</v>
      </c>
      <c r="B93" s="196" t="str">
        <f t="shared" si="34"/>
        <v>Husdyrgødning</v>
      </c>
      <c r="C93" s="196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6">
        <f t="shared" si="19"/>
        <v>2030</v>
      </c>
      <c r="E93" s="194" t="s">
        <v>24</v>
      </c>
      <c r="F93" s="197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4605821.4125648942</v>
      </c>
      <c r="G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4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2441085.3486593938</v>
      </c>
      <c r="K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2164736.0639055003</v>
      </c>
      <c r="L93" s="197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9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6">
        <f t="shared" si="23"/>
        <v>0</v>
      </c>
      <c r="O93" s="197">
        <f t="shared" si="20"/>
        <v>0</v>
      </c>
      <c r="P93" s="207">
        <f t="shared" si="24"/>
        <v>2441085.3486593938</v>
      </c>
      <c r="Q93" s="194">
        <f>IFERROR(VLOOKUP(A93,[1]Energiindhold!$A$2:$C$11,3,FALSE),IFERROR(VLOOKUP(A93,[1]Biogasudbytte!$A$2:$B$18,2,FALSE)*[1]Energiindhold!$C$10,0))*O93</f>
        <v>0</v>
      </c>
      <c r="R93" s="194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1.0516195682024669</v>
      </c>
      <c r="S93" s="194">
        <f>IFERROR(VLOOKUP(A93,[1]Biogasudbytte!$A$2:$B$18,2,FALSE)*[1]Energiindhold!$C$10,0)*J93*IFERROR(VLOOKUP(A93,Biogasanlæg!$F$3:$G$8,2,FALSE),1)</f>
        <v>1.0516195682024669</v>
      </c>
      <c r="T93" s="195">
        <f t="shared" si="25"/>
        <v>0</v>
      </c>
      <c r="U93" s="193">
        <f>O93*IFERROR(VLOOKUP(A93,[1]Tørstofindhold!A$2:B$25,2,FALSE),0)</f>
        <v>0</v>
      </c>
      <c r="V93" s="194">
        <f>IF(D93=År1,P93,SUM(O93,P93))*IFERROR(VLOOKUP(A93,[1]Tørstofindhold!A$2:B$25,2,FALSE),0)</f>
        <v>122054.2674329697</v>
      </c>
      <c r="W93" s="194">
        <f>J93*IFERROR(VLOOKUP(A93,[1]Tørstofindhold!A$2:B$25,2,FALSE),0)</f>
        <v>122054.2674329697</v>
      </c>
      <c r="X93" s="195">
        <f t="shared" si="26"/>
        <v>0</v>
      </c>
      <c r="Y93" s="173">
        <f t="shared" si="21"/>
        <v>0</v>
      </c>
      <c r="Z93" s="104">
        <f t="shared" si="22"/>
        <v>0</v>
      </c>
    </row>
    <row r="94" spans="1:26" hidden="1" x14ac:dyDescent="0.25">
      <c r="A94" s="196" t="str">
        <f t="shared" si="33"/>
        <v>Svinekød</v>
      </c>
      <c r="B94" s="196" t="str">
        <f t="shared" si="34"/>
        <v/>
      </c>
      <c r="C94" s="196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6">
        <f t="shared" si="19"/>
        <v>2030</v>
      </c>
      <c r="E94" s="194" t="s">
        <v>24</v>
      </c>
      <c r="F94" s="197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516260.44941767416</v>
      </c>
      <c r="G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4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60937.772024340171</v>
      </c>
      <c r="J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7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9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6">
        <f t="shared" si="23"/>
        <v>455322.67739333399</v>
      </c>
      <c r="O94" s="197">
        <f t="shared" si="20"/>
        <v>0</v>
      </c>
      <c r="P94" s="207">
        <f t="shared" si="24"/>
        <v>0</v>
      </c>
      <c r="Q94" s="194">
        <f>IFERROR(VLOOKUP(A94,[1]Energiindhold!$A$2:$C$11,3,FALSE),IFERROR(VLOOKUP(A94,[1]Biogasudbytte!$A$2:$B$18,2,FALSE)*[1]Energiindhold!$C$10,0))*O94</f>
        <v>0</v>
      </c>
      <c r="R94" s="194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4">
        <f>IFERROR(VLOOKUP(A94,[1]Biogasudbytte!$A$2:$B$18,2,FALSE)*[1]Energiindhold!$C$10,0)*J94*IFERROR(VLOOKUP(A94,Biogasanlæg!$F$3:$G$8,2,FALSE),1)</f>
        <v>0</v>
      </c>
      <c r="T94" s="195">
        <f t="shared" si="25"/>
        <v>0</v>
      </c>
      <c r="U94" s="193">
        <f>O94*IFERROR(VLOOKUP(A94,[1]Tørstofindhold!A$2:B$25,2,FALSE),0)</f>
        <v>0</v>
      </c>
      <c r="V94" s="194">
        <f>IF(D94=År1,P94,SUM(O94,P94))*IFERROR(VLOOKUP(A94,[1]Tørstofindhold!A$2:B$25,2,FALSE),0)</f>
        <v>0</v>
      </c>
      <c r="W94" s="194">
        <f>J94*IFERROR(VLOOKUP(A94,[1]Tørstofindhold!A$2:B$25,2,FALSE),0)</f>
        <v>0</v>
      </c>
      <c r="X94" s="195">
        <f t="shared" si="26"/>
        <v>0</v>
      </c>
      <c r="Y94" s="173">
        <f t="shared" si="21"/>
        <v>0</v>
      </c>
      <c r="Z94" s="104">
        <f t="shared" si="22"/>
        <v>1</v>
      </c>
    </row>
    <row r="95" spans="1:26" hidden="1" x14ac:dyDescent="0.25">
      <c r="A95" s="196" t="str">
        <f t="shared" si="33"/>
        <v>Tang</v>
      </c>
      <c r="B95" s="196" t="str">
        <f t="shared" si="34"/>
        <v>Havbiomasse</v>
      </c>
      <c r="C95" s="196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6">
        <f t="shared" si="19"/>
        <v>2030</v>
      </c>
      <c r="E95" s="194" t="s">
        <v>24</v>
      </c>
      <c r="F95" s="197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4863.4037343860291</v>
      </c>
      <c r="H95" s="194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7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9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6">
        <f t="shared" si="23"/>
        <v>8636.5962656139709</v>
      </c>
      <c r="O95" s="197">
        <f t="shared" si="20"/>
        <v>8636.5962656139709</v>
      </c>
      <c r="P95" s="207">
        <f t="shared" si="24"/>
        <v>0</v>
      </c>
      <c r="Q95" s="194">
        <f>IFERROR(VLOOKUP(A95,[1]Energiindhold!$A$2:$C$11,3,FALSE),IFERROR(VLOOKUP(A95,[1]Biogasudbytte!$A$2:$B$18,2,FALSE)*[1]Energiindhold!$C$10,0))*O95</f>
        <v>7.7513451483885399E-3</v>
      </c>
      <c r="R95" s="194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7.7513451483885399E-3</v>
      </c>
      <c r="S95" s="194">
        <f>IFERROR(VLOOKUP(A95,[1]Biogasudbytte!$A$2:$B$18,2,FALSE)*[1]Energiindhold!$C$10,0)*J95*IFERROR(VLOOKUP(A95,Biogasanlæg!$F$3:$G$8,2,FALSE),1)</f>
        <v>0</v>
      </c>
      <c r="T95" s="195">
        <f t="shared" si="25"/>
        <v>7.7513451483885399E-3</v>
      </c>
      <c r="U95" s="193">
        <f>O95*IFERROR(VLOOKUP(A95,[1]Tørstofindhold!A$2:B$25,2,FALSE),0)</f>
        <v>1295.4894398420956</v>
      </c>
      <c r="V95" s="194">
        <f>IF(D95=År1,P95,SUM(O95,P95))*IFERROR(VLOOKUP(A95,[1]Tørstofindhold!A$2:B$25,2,FALSE),0)</f>
        <v>1295.4894398420956</v>
      </c>
      <c r="W95" s="194">
        <f>J95*IFERROR(VLOOKUP(A95,[1]Tørstofindhold!A$2:B$25,2,FALSE),0)</f>
        <v>0</v>
      </c>
      <c r="X95" s="195">
        <f t="shared" si="26"/>
        <v>1295.4894398420956</v>
      </c>
      <c r="Y95" s="173">
        <f t="shared" si="21"/>
        <v>0</v>
      </c>
      <c r="Z95" s="104">
        <f t="shared" si="22"/>
        <v>1</v>
      </c>
    </row>
    <row r="96" spans="1:26" hidden="1" x14ac:dyDescent="0.25">
      <c r="A96" s="196" t="str">
        <f t="shared" si="33"/>
        <v>Total til biogas</v>
      </c>
      <c r="B96" s="196" t="str">
        <f t="shared" si="34"/>
        <v/>
      </c>
      <c r="C96" s="196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6">
        <f t="shared" si="19"/>
        <v>2030</v>
      </c>
      <c r="E96" s="194" t="s">
        <v>24</v>
      </c>
      <c r="F96" s="197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4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7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9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6">
        <f t="shared" si="23"/>
        <v>0</v>
      </c>
      <c r="O96" s="197">
        <f t="shared" si="20"/>
        <v>0</v>
      </c>
      <c r="P96" s="207">
        <f t="shared" si="24"/>
        <v>0</v>
      </c>
      <c r="Q96" s="194">
        <f>IFERROR(VLOOKUP(A96,[1]Energiindhold!$A$2:$C$11,3,FALSE),IFERROR(VLOOKUP(A96,[1]Biogasudbytte!$A$2:$B$18,2,FALSE)*[1]Energiindhold!$C$10,0))*O96</f>
        <v>0</v>
      </c>
      <c r="R96" s="194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4">
        <f>IFERROR(VLOOKUP(A96,[1]Biogasudbytte!$A$2:$B$18,2,FALSE)*[1]Energiindhold!$C$10,0)*J96*IFERROR(VLOOKUP(A96,Biogasanlæg!$F$3:$G$8,2,FALSE),1)</f>
        <v>0</v>
      </c>
      <c r="T96" s="195">
        <f t="shared" si="25"/>
        <v>0</v>
      </c>
      <c r="U96" s="193">
        <f>O96*IFERROR(VLOOKUP(A96,[1]Tørstofindhold!A$2:B$25,2,FALSE),0)</f>
        <v>0</v>
      </c>
      <c r="V96" s="194">
        <f>IF(D96=År1,P96,SUM(O96,P96))*IFERROR(VLOOKUP(A96,[1]Tørstofindhold!A$2:B$25,2,FALSE),0)</f>
        <v>0</v>
      </c>
      <c r="W96" s="194">
        <f>J96*IFERROR(VLOOKUP(A96,[1]Tørstofindhold!A$2:B$25,2,FALSE),0)</f>
        <v>0</v>
      </c>
      <c r="X96" s="195">
        <f t="shared" si="26"/>
        <v>0</v>
      </c>
      <c r="Y96" s="173">
        <f t="shared" si="21"/>
        <v>0</v>
      </c>
      <c r="Z96" s="104">
        <f t="shared" si="22"/>
        <v>0</v>
      </c>
    </row>
    <row r="97" spans="1:26" hidden="1" x14ac:dyDescent="0.25">
      <c r="A97" s="196" t="str">
        <f t="shared" si="33"/>
        <v>Træ til energi</v>
      </c>
      <c r="B97" s="196" t="str">
        <f t="shared" si="34"/>
        <v>Vedmasse</v>
      </c>
      <c r="C97" s="196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6">
        <f t="shared" si="19"/>
        <v>2030</v>
      </c>
      <c r="E97" s="194" t="s">
        <v>24</v>
      </c>
      <c r="F97" s="197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4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7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9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6">
        <f t="shared" si="23"/>
        <v>0</v>
      </c>
      <c r="O97" s="197">
        <f t="shared" si="20"/>
        <v>0</v>
      </c>
      <c r="P97" s="207">
        <f t="shared" si="24"/>
        <v>2203715.0015238998</v>
      </c>
      <c r="Q97" s="194">
        <f>IFERROR(VLOOKUP(A97,[1]Energiindhold!$A$2:$C$11,3,FALSE),IFERROR(VLOOKUP(A97,[1]Biogasudbytte!$A$2:$B$18,2,FALSE)*[1]Energiindhold!$C$10,0))*O97</f>
        <v>0</v>
      </c>
      <c r="R97" s="194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4">
        <f>IFERROR(VLOOKUP(A97,[1]Biogasudbytte!$A$2:$B$18,2,FALSE)*[1]Energiindhold!$C$10,0)*J97*IFERROR(VLOOKUP(A97,Biogasanlæg!$F$3:$G$8,2,FALSE),1)</f>
        <v>0</v>
      </c>
      <c r="T97" s="195">
        <f t="shared" si="25"/>
        <v>31.93969521225883</v>
      </c>
      <c r="U97" s="193">
        <f>O97*IFERROR(VLOOKUP(A97,[1]Tørstofindhold!A$2:B$25,2,FALSE),0)</f>
        <v>0</v>
      </c>
      <c r="V97" s="194">
        <f>IF(D97=År1,P97,SUM(O97,P97))*IFERROR(VLOOKUP(A97,[1]Tørstofindhold!A$2:B$25,2,FALSE),0)</f>
        <v>1089920.7111703621</v>
      </c>
      <c r="W97" s="194">
        <f>J97*IFERROR(VLOOKUP(A97,[1]Tørstofindhold!A$2:B$25,2,FALSE),0)</f>
        <v>0</v>
      </c>
      <c r="X97" s="195">
        <f t="shared" si="26"/>
        <v>1089920.7111703621</v>
      </c>
      <c r="Y97" s="173">
        <f t="shared" si="21"/>
        <v>0</v>
      </c>
      <c r="Z97" s="104">
        <f t="shared" si="22"/>
        <v>0</v>
      </c>
    </row>
    <row r="98" spans="1:26" hidden="1" x14ac:dyDescent="0.25">
      <c r="A98" s="196" t="str">
        <f t="shared" si="33"/>
        <v>Træmaterialer</v>
      </c>
      <c r="B98" s="196" t="str">
        <f t="shared" si="34"/>
        <v/>
      </c>
      <c r="C98" s="196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6">
        <f t="shared" si="19"/>
        <v>2030</v>
      </c>
      <c r="E98" s="194" t="s">
        <v>24</v>
      </c>
      <c r="F98" s="197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4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7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9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6">
        <f t="shared" si="23"/>
        <v>605932.0339558397</v>
      </c>
      <c r="O98" s="197">
        <f t="shared" si="20"/>
        <v>0</v>
      </c>
      <c r="P98" s="207">
        <f t="shared" si="24"/>
        <v>0</v>
      </c>
      <c r="Q98" s="194">
        <f>IFERROR(VLOOKUP(A98,[1]Energiindhold!$A$2:$C$11,3,FALSE),IFERROR(VLOOKUP(A98,[1]Biogasudbytte!$A$2:$B$18,2,FALSE)*[1]Energiindhold!$C$10,0))*O98</f>
        <v>0</v>
      </c>
      <c r="R98" s="194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4">
        <f>IFERROR(VLOOKUP(A98,[1]Biogasudbytte!$A$2:$B$18,2,FALSE)*[1]Energiindhold!$C$10,0)*J98*IFERROR(VLOOKUP(A98,Biogasanlæg!$F$3:$G$8,2,FALSE),1)</f>
        <v>0</v>
      </c>
      <c r="T98" s="195">
        <f t="shared" si="25"/>
        <v>0</v>
      </c>
      <c r="U98" s="193">
        <f>O98*IFERROR(VLOOKUP(A98,[1]Tørstofindhold!A$2:B$25,2,FALSE),0)</f>
        <v>0</v>
      </c>
      <c r="V98" s="194">
        <f>IF(D98=År1,P98,SUM(O98,P98))*IFERROR(VLOOKUP(A98,[1]Tørstofindhold!A$2:B$25,2,FALSE),0)</f>
        <v>0</v>
      </c>
      <c r="W98" s="194">
        <f>J98*IFERROR(VLOOKUP(A98,[1]Tørstofindhold!A$2:B$25,2,FALSE),0)</f>
        <v>0</v>
      </c>
      <c r="X98" s="195">
        <f t="shared" si="26"/>
        <v>0</v>
      </c>
      <c r="Y98" s="173">
        <f t="shared" si="21"/>
        <v>0</v>
      </c>
      <c r="Z98" s="104">
        <f t="shared" si="22"/>
        <v>1</v>
      </c>
    </row>
    <row r="99" spans="1:26" hidden="1" x14ac:dyDescent="0.25">
      <c r="A99" s="196" t="str">
        <f t="shared" si="33"/>
        <v>Æg</v>
      </c>
      <c r="B99" s="196" t="str">
        <f t="shared" si="34"/>
        <v/>
      </c>
      <c r="C99" s="196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6">
        <f t="shared" ref="D99:D146" si="35">År3</f>
        <v>2050</v>
      </c>
      <c r="E99" s="194" t="s">
        <v>24</v>
      </c>
      <c r="F99" s="197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10017.156591918179</v>
      </c>
      <c r="G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4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7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9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6">
        <f t="shared" si="23"/>
        <v>-23832.812294526637</v>
      </c>
      <c r="O99" s="197">
        <f t="shared" si="20"/>
        <v>0</v>
      </c>
      <c r="P99" s="207">
        <f t="shared" si="24"/>
        <v>0</v>
      </c>
      <c r="Q99" s="194">
        <f>IFERROR(VLOOKUP(A99,[1]Energiindhold!$A$2:$C$11,3,FALSE),IFERROR(VLOOKUP(A99,[1]Biogasudbytte!$A$2:$B$18,2,FALSE)*[1]Energiindhold!$C$10,0))*O99</f>
        <v>0</v>
      </c>
      <c r="R99" s="194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4">
        <f>IFERROR(VLOOKUP(A99,[1]Biogasudbytte!$A$2:$B$18,2,FALSE)*[1]Energiindhold!$C$10,0)*J99*IFERROR(VLOOKUP(A99,Biogasanlæg!$F$3:$G$8,2,FALSE),1)</f>
        <v>0</v>
      </c>
      <c r="T99" s="195">
        <f t="shared" si="25"/>
        <v>0</v>
      </c>
      <c r="U99" s="193">
        <f>O99*IFERROR(VLOOKUP(A99,[1]Tørstofindhold!A$2:B$25,2,FALSE),0)</f>
        <v>0</v>
      </c>
      <c r="V99" s="194">
        <f>IF(D99=År1,P99,SUM(O99,P99))*IFERROR(VLOOKUP(A99,[1]Tørstofindhold!A$2:B$25,2,FALSE),0)</f>
        <v>0</v>
      </c>
      <c r="W99" s="194">
        <f>J99*IFERROR(VLOOKUP(A99,[1]Tørstofindhold!A$2:B$25,2,FALSE),0)</f>
        <v>0</v>
      </c>
      <c r="X99" s="195">
        <f t="shared" si="26"/>
        <v>0</v>
      </c>
      <c r="Y99" s="173">
        <f t="shared" si="21"/>
        <v>1</v>
      </c>
      <c r="Z99" s="104">
        <f t="shared" si="22"/>
        <v>0</v>
      </c>
    </row>
    <row r="100" spans="1:26" hidden="1" x14ac:dyDescent="0.25">
      <c r="A100" s="196" t="str">
        <f t="shared" si="33"/>
        <v>Bælgsæd</v>
      </c>
      <c r="B100" s="196" t="str">
        <f t="shared" si="34"/>
        <v/>
      </c>
      <c r="C100" s="196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6">
        <f t="shared" si="35"/>
        <v>2050</v>
      </c>
      <c r="E100" s="194" t="s">
        <v>24</v>
      </c>
      <c r="F100" s="197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463084.0167324213</v>
      </c>
      <c r="G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6449.847547519199</v>
      </c>
      <c r="H100" s="194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225666.45924296544</v>
      </c>
      <c r="J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7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9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6">
        <f t="shared" si="23"/>
        <v>230967.70994193666</v>
      </c>
      <c r="O100" s="197">
        <f t="shared" si="20"/>
        <v>0</v>
      </c>
      <c r="P100" s="207">
        <f t="shared" si="24"/>
        <v>0</v>
      </c>
      <c r="Q100" s="194">
        <f>IFERROR(VLOOKUP(A100,[1]Energiindhold!$A$2:$C$11,3,FALSE),IFERROR(VLOOKUP(A100,[1]Biogasudbytte!$A$2:$B$18,2,FALSE)*[1]Energiindhold!$C$10,0))*O100</f>
        <v>0</v>
      </c>
      <c r="R100" s="194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4">
        <f>IFERROR(VLOOKUP(A100,[1]Biogasudbytte!$A$2:$B$18,2,FALSE)*[1]Energiindhold!$C$10,0)*J100*IFERROR(VLOOKUP(A100,Biogasanlæg!$F$3:$G$8,2,FALSE),1)</f>
        <v>0</v>
      </c>
      <c r="T100" s="195">
        <f t="shared" si="25"/>
        <v>0</v>
      </c>
      <c r="U100" s="193">
        <f>O100*IFERROR(VLOOKUP(A100,[1]Tørstofindhold!A$2:B$25,2,FALSE),0)</f>
        <v>0</v>
      </c>
      <c r="V100" s="194">
        <f>IF(D100=År1,P100,SUM(O100,P100))*IFERROR(VLOOKUP(A100,[1]Tørstofindhold!A$2:B$25,2,FALSE),0)</f>
        <v>0</v>
      </c>
      <c r="W100" s="194">
        <f>J100*IFERROR(VLOOKUP(A100,[1]Tørstofindhold!A$2:B$25,2,FALSE),0)</f>
        <v>0</v>
      </c>
      <c r="X100" s="195">
        <f t="shared" si="26"/>
        <v>0</v>
      </c>
      <c r="Y100" s="173">
        <f t="shared" si="21"/>
        <v>0</v>
      </c>
      <c r="Z100" s="104">
        <f t="shared" si="22"/>
        <v>1</v>
      </c>
    </row>
    <row r="101" spans="1:26" hidden="1" x14ac:dyDescent="0.25">
      <c r="A101" s="196" t="str">
        <f t="shared" si="33"/>
        <v>Bioaffald</v>
      </c>
      <c r="B101" s="196" t="str">
        <f t="shared" si="34"/>
        <v>Bionedbrydeligt affald</v>
      </c>
      <c r="C101" s="196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6">
        <f t="shared" si="35"/>
        <v>2050</v>
      </c>
      <c r="E101" s="194" t="s">
        <v>24</v>
      </c>
      <c r="F101" s="197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0</v>
      </c>
      <c r="G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4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7" t="e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#REF!</v>
      </c>
      <c r="K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7" t="e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#REF!</v>
      </c>
      <c r="M101" s="159" t="e">
        <f ca="1">SUMIFS('Forbrug af biomasse'!E:E,'Forbrug af biomasse'!C:C,'Resultat-Produktion &amp; forbrug'!$A101,'Forbrug af biomasse'!D:D,'Resultat-Produktion &amp; forbrug'!$D101,'Forbrug af biomasse'!G:G,1,'Forbrug af biomasse'!B:B,$E101)</f>
        <v>#REF!</v>
      </c>
      <c r="N101" s="206" t="e">
        <f t="shared" ca="1" si="23"/>
        <v>#REF!</v>
      </c>
      <c r="O101" s="197" t="e">
        <f t="shared" ca="1" si="20"/>
        <v>#REF!</v>
      </c>
      <c r="P101" s="207" t="e">
        <f t="shared" ca="1" si="24"/>
        <v>#REF!</v>
      </c>
      <c r="Q101" s="194" t="e">
        <f ca="1">IFERROR(VLOOKUP(A101,[1]Energiindhold!$A$2:$C$11,3,FALSE),IFERROR(VLOOKUP(A101,[1]Biogasudbytte!$A$2:$B$18,2,FALSE)*[1]Energiindhold!$C$10,0))*O101</f>
        <v>#REF!</v>
      </c>
      <c r="R101" s="194" t="e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#REF!</v>
      </c>
      <c r="S101" s="194" t="e">
        <f ca="1">IFERROR(VLOOKUP(A101,[1]Biogasudbytte!$A$2:$B$18,2,FALSE)*[1]Energiindhold!$C$10,0)*J101*IFERROR(VLOOKUP(A101,Biogasanlæg!$F$3:$G$8,2,FALSE),1)</f>
        <v>#REF!</v>
      </c>
      <c r="T101" s="195" t="e">
        <f t="shared" ca="1" si="25"/>
        <v>#REF!</v>
      </c>
      <c r="U101" s="193" t="e">
        <f ca="1">O101*IFERROR(VLOOKUP(A101,[1]Tørstofindhold!A$2:B$25,2,FALSE),0)</f>
        <v>#REF!</v>
      </c>
      <c r="V101" s="194" t="e">
        <f ca="1">IF(D101=År1,P101,SUM(O101,P101))*IFERROR(VLOOKUP(A101,[1]Tørstofindhold!A$2:B$25,2,FALSE),0)</f>
        <v>#REF!</v>
      </c>
      <c r="W101" s="194" t="e">
        <f ca="1">J101*IFERROR(VLOOKUP(A101,[1]Tørstofindhold!A$2:B$25,2,FALSE),0)</f>
        <v>#REF!</v>
      </c>
      <c r="X101" s="195" t="e">
        <f t="shared" ca="1" si="26"/>
        <v>#REF!</v>
      </c>
      <c r="Y101" s="173" t="e">
        <f t="shared" ca="1" si="21"/>
        <v>#REF!</v>
      </c>
      <c r="Z101" s="104" t="e">
        <f t="shared" ca="1" si="22"/>
        <v>#REF!</v>
      </c>
    </row>
    <row r="102" spans="1:26" hidden="1" x14ac:dyDescent="0.25">
      <c r="A102" s="196" t="str">
        <f t="shared" si="33"/>
        <v>Biogas</v>
      </c>
      <c r="B102" s="196" t="str">
        <f t="shared" si="34"/>
        <v/>
      </c>
      <c r="C102" s="196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6">
        <f t="shared" si="35"/>
        <v>2050</v>
      </c>
      <c r="E102" s="194" t="s">
        <v>24</v>
      </c>
      <c r="F102" s="197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47333608.503108315</v>
      </c>
      <c r="G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4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7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47333608.503108315</v>
      </c>
      <c r="M102" s="159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6">
        <f t="shared" ca="1" si="23"/>
        <v>0</v>
      </c>
      <c r="O102" s="197">
        <f t="shared" ca="1" si="20"/>
        <v>0</v>
      </c>
      <c r="P102" s="207">
        <f t="shared" ca="1" si="24"/>
        <v>47333608.503108315</v>
      </c>
      <c r="Q102" s="194">
        <f ca="1">IFERROR(VLOOKUP(A102,[1]Energiindhold!$A$2:$C$11,3,FALSE),IFERROR(VLOOKUP(A102,[1]Biogasudbytte!$A$2:$B$18,2,FALSE)*[1]Energiindhold!$C$10,0))*O102</f>
        <v>0</v>
      </c>
      <c r="R102" s="194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4">
        <f>IFERROR(VLOOKUP(A102,[1]Biogasudbytte!$A$2:$B$18,2,FALSE)*[1]Energiindhold!$C$10,0)*J102*IFERROR(VLOOKUP(A102,Biogasanlæg!$F$3:$G$8,2,FALSE),1)</f>
        <v>0</v>
      </c>
      <c r="T102" s="195">
        <f t="shared" si="25"/>
        <v>0</v>
      </c>
      <c r="U102" s="193">
        <f ca="1">O102*IFERROR(VLOOKUP(A102,[1]Tørstofindhold!A$2:B$25,2,FALSE),0)</f>
        <v>0</v>
      </c>
      <c r="V102" s="194">
        <f ca="1">IF(D102=År1,P102,SUM(O102,P102))*IFERROR(VLOOKUP(A102,[1]Tørstofindhold!A$2:B$25,2,FALSE),0)</f>
        <v>0</v>
      </c>
      <c r="W102" s="194">
        <f>J102*IFERROR(VLOOKUP(A102,[1]Tørstofindhold!A$2:B$25,2,FALSE),0)</f>
        <v>0</v>
      </c>
      <c r="X102" s="195">
        <f t="shared" ca="1" si="26"/>
        <v>0</v>
      </c>
      <c r="Y102" s="173">
        <f t="shared" ca="1" si="21"/>
        <v>0</v>
      </c>
      <c r="Z102" s="104">
        <f t="shared" ca="1" si="22"/>
        <v>0</v>
      </c>
    </row>
    <row r="103" spans="1:26" hidden="1" x14ac:dyDescent="0.25">
      <c r="A103" s="196" t="str">
        <f t="shared" si="33"/>
        <v>Biogasgylle</v>
      </c>
      <c r="B103" s="196" t="str">
        <f t="shared" si="34"/>
        <v/>
      </c>
      <c r="C103" s="196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6">
        <f t="shared" si="35"/>
        <v>2050</v>
      </c>
      <c r="E103" s="194" t="s">
        <v>24</v>
      </c>
      <c r="F103" s="197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0</v>
      </c>
      <c r="G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4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7" t="e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#REF!</v>
      </c>
      <c r="L103" s="197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9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6" t="e">
        <f t="shared" ca="1" si="23"/>
        <v>#REF!</v>
      </c>
      <c r="O103" s="197">
        <f t="shared" si="20"/>
        <v>0</v>
      </c>
      <c r="P103" s="207">
        <f t="shared" si="24"/>
        <v>0</v>
      </c>
      <c r="Q103" s="194">
        <f>IFERROR(VLOOKUP(A103,[1]Energiindhold!$A$2:$C$11,3,FALSE),IFERROR(VLOOKUP(A103,[1]Biogasudbytte!$A$2:$B$18,2,FALSE)*[1]Energiindhold!$C$10,0))*O103</f>
        <v>0</v>
      </c>
      <c r="R103" s="194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4">
        <f>IFERROR(VLOOKUP(A103,[1]Biogasudbytte!$A$2:$B$18,2,FALSE)*[1]Energiindhold!$C$10,0)*J103*IFERROR(VLOOKUP(A103,Biogasanlæg!$F$3:$G$8,2,FALSE),1)</f>
        <v>0</v>
      </c>
      <c r="T103" s="195">
        <f t="shared" si="25"/>
        <v>0</v>
      </c>
      <c r="U103" s="193">
        <f>O103*IFERROR(VLOOKUP(A103,[1]Tørstofindhold!A$2:B$25,2,FALSE),0)</f>
        <v>0</v>
      </c>
      <c r="V103" s="194">
        <f>IF(D103=År1,P103,SUM(O103,P103))*IFERROR(VLOOKUP(A103,[1]Tørstofindhold!A$2:B$25,2,FALSE),0)</f>
        <v>0</v>
      </c>
      <c r="W103" s="194">
        <f>J103*IFERROR(VLOOKUP(A103,[1]Tørstofindhold!A$2:B$25,2,FALSE),0)</f>
        <v>0</v>
      </c>
      <c r="X103" s="195">
        <f t="shared" si="26"/>
        <v>0</v>
      </c>
      <c r="Y103" s="173" t="e">
        <f t="shared" ca="1" si="21"/>
        <v>#REF!</v>
      </c>
      <c r="Z103" s="104" t="e">
        <f t="shared" ca="1" si="22"/>
        <v>#REF!</v>
      </c>
    </row>
    <row r="104" spans="1:26" hidden="1" x14ac:dyDescent="0.25">
      <c r="A104" s="196" t="str">
        <f t="shared" si="33"/>
        <v>Brun saft</v>
      </c>
      <c r="B104" s="196" t="str">
        <f t="shared" si="34"/>
        <v>Bionedbrydeligt affald</v>
      </c>
      <c r="C104" s="196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6">
        <f t="shared" si="35"/>
        <v>2050</v>
      </c>
      <c r="E104" s="194" t="s">
        <v>24</v>
      </c>
      <c r="F104" s="197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379645.45952787838</v>
      </c>
      <c r="G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4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75929.091905575682</v>
      </c>
      <c r="K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7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9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6">
        <f t="shared" si="23"/>
        <v>303716.36762230273</v>
      </c>
      <c r="O104" s="197">
        <f t="shared" si="20"/>
        <v>303716.36762230273</v>
      </c>
      <c r="P104" s="207">
        <f t="shared" si="24"/>
        <v>75929.091905575682</v>
      </c>
      <c r="Q104" s="194">
        <f>IFERROR(VLOOKUP(A104,[1]Energiindhold!$A$2:$C$11,3,FALSE),IFERROR(VLOOKUP(A104,[1]Biogasudbytte!$A$2:$B$18,2,FALSE)*[1]Energiindhold!$C$10,0))*O104</f>
        <v>0.17251881680271708</v>
      </c>
      <c r="R104" s="194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0.21564852100339635</v>
      </c>
      <c r="S104" s="194">
        <f>IFERROR(VLOOKUP(A104,[1]Biogasudbytte!$A$2:$B$18,2,FALSE)*[1]Energiindhold!$C$10,0)*J104*IFERROR(VLOOKUP(A104,Biogasanlæg!$F$3:$G$8,2,FALSE),1)</f>
        <v>4.312970420067927E-2</v>
      </c>
      <c r="T104" s="195">
        <f t="shared" si="25"/>
        <v>0.17251881680271708</v>
      </c>
      <c r="U104" s="193">
        <f>O104*IFERROR(VLOOKUP(A104,[1]Tørstofindhold!A$2:B$25,2,FALSE),0)</f>
        <v>12987.940736484006</v>
      </c>
      <c r="V104" s="194">
        <f>IF(D104=År1,P104,SUM(O104,P104))*IFERROR(VLOOKUP(A104,[1]Tørstofindhold!A$2:B$25,2,FALSE),0)</f>
        <v>16234.925920605008</v>
      </c>
      <c r="W104" s="194">
        <f>J104*IFERROR(VLOOKUP(A104,[1]Tørstofindhold!A$2:B$25,2,FALSE),0)</f>
        <v>3246.9851841210016</v>
      </c>
      <c r="X104" s="195">
        <f t="shared" si="26"/>
        <v>12987.940736484006</v>
      </c>
      <c r="Y104" s="173">
        <f t="shared" si="21"/>
        <v>0</v>
      </c>
      <c r="Z104" s="104">
        <f t="shared" si="22"/>
        <v>1</v>
      </c>
    </row>
    <row r="105" spans="1:26" hidden="1" x14ac:dyDescent="0.25">
      <c r="A105" s="196" t="str">
        <f t="shared" si="33"/>
        <v>Dybstrøelse</v>
      </c>
      <c r="B105" s="196" t="str">
        <f t="shared" si="34"/>
        <v>Husdyrgødning</v>
      </c>
      <c r="C105" s="196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6">
        <f t="shared" si="35"/>
        <v>2050</v>
      </c>
      <c r="E105" s="194" t="s">
        <v>24</v>
      </c>
      <c r="F105" s="197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537198.25456001912</v>
      </c>
      <c r="G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4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267858.6677775862</v>
      </c>
      <c r="K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101403.63851580049</v>
      </c>
      <c r="L105" s="197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9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6">
        <f t="shared" si="23"/>
        <v>167935.94826663245</v>
      </c>
      <c r="O105" s="197">
        <f t="shared" si="20"/>
        <v>167935.94826663245</v>
      </c>
      <c r="P105" s="207">
        <f t="shared" si="24"/>
        <v>267858.6677775862</v>
      </c>
      <c r="Q105" s="194">
        <f>IFERROR(VLOOKUP(A105,[1]Energiindhold!$A$2:$C$11,3,FALSE),IFERROR(VLOOKUP(A105,[1]Biogasudbytte!$A$2:$B$18,2,FALSE)*[1]Energiindhold!$C$10,0))*O105</f>
        <v>0.3617340325663263</v>
      </c>
      <c r="R105" s="194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0.93870160295924698</v>
      </c>
      <c r="S105" s="194">
        <f>IFERROR(VLOOKUP(A105,[1]Biogasudbytte!$A$2:$B$18,2,FALSE)*[1]Energiindhold!$C$10,0)*J105*IFERROR(VLOOKUP(A105,Biogasanlæg!$F$3:$G$8,2,FALSE),1)</f>
        <v>0.57696757039292068</v>
      </c>
      <c r="T105" s="195">
        <f t="shared" si="25"/>
        <v>0.3617340325663263</v>
      </c>
      <c r="U105" s="193">
        <f>O105*IFERROR(VLOOKUP(A105,[1]Tørstofindhold!A$2:B$25,2,FALSE),0)</f>
        <v>50380.784479989736</v>
      </c>
      <c r="V105" s="194">
        <f>IF(D105=År1,P105,SUM(O105,P105))*IFERROR(VLOOKUP(A105,[1]Tørstofindhold!A$2:B$25,2,FALSE),0)</f>
        <v>130738.38481326558</v>
      </c>
      <c r="W105" s="194">
        <f>J105*IFERROR(VLOOKUP(A105,[1]Tørstofindhold!A$2:B$25,2,FALSE),0)</f>
        <v>80357.600333275856</v>
      </c>
      <c r="X105" s="195">
        <f t="shared" si="26"/>
        <v>50380.784479989728</v>
      </c>
      <c r="Y105" s="173">
        <f t="shared" si="21"/>
        <v>0</v>
      </c>
      <c r="Z105" s="104">
        <f t="shared" si="22"/>
        <v>1</v>
      </c>
    </row>
    <row r="106" spans="1:26" hidden="1" x14ac:dyDescent="0.25">
      <c r="A106" s="196" t="str">
        <f t="shared" si="33"/>
        <v>Fiberfraktion</v>
      </c>
      <c r="B106" s="196" t="str">
        <f t="shared" si="34"/>
        <v/>
      </c>
      <c r="C106" s="196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6">
        <f t="shared" si="35"/>
        <v>2050</v>
      </c>
      <c r="E106" s="194" t="s">
        <v>24</v>
      </c>
      <c r="F106" s="197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267398.77986878838</v>
      </c>
      <c r="G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4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7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9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6">
        <f t="shared" si="23"/>
        <v>267398.77986878838</v>
      </c>
      <c r="O106" s="197">
        <f t="shared" si="20"/>
        <v>0</v>
      </c>
      <c r="P106" s="207">
        <f t="shared" si="24"/>
        <v>0</v>
      </c>
      <c r="Q106" s="194">
        <f>IFERROR(VLOOKUP(A106,[1]Energiindhold!$A$2:$C$11,3,FALSE),IFERROR(VLOOKUP(A106,[1]Biogasudbytte!$A$2:$B$18,2,FALSE)*[1]Energiindhold!$C$10,0))*O106</f>
        <v>0</v>
      </c>
      <c r="R106" s="194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4">
        <f>IFERROR(VLOOKUP(A106,[1]Biogasudbytte!$A$2:$B$18,2,FALSE)*[1]Energiindhold!$C$10,0)*J106*IFERROR(VLOOKUP(A106,Biogasanlæg!$F$3:$G$8,2,FALSE),1)</f>
        <v>0</v>
      </c>
      <c r="T106" s="195">
        <f t="shared" si="25"/>
        <v>0</v>
      </c>
      <c r="U106" s="193">
        <f>O106*IFERROR(VLOOKUP(A106,[1]Tørstofindhold!A$2:B$25,2,FALSE),0)</f>
        <v>0</v>
      </c>
      <c r="V106" s="194">
        <f>IF(D106=År1,P106,SUM(O106,P106))*IFERROR(VLOOKUP(A106,[1]Tørstofindhold!A$2:B$25,2,FALSE),0)</f>
        <v>0</v>
      </c>
      <c r="W106" s="194">
        <f>J106*IFERROR(VLOOKUP(A106,[1]Tørstofindhold!A$2:B$25,2,FALSE),0)</f>
        <v>0</v>
      </c>
      <c r="X106" s="195">
        <f t="shared" si="26"/>
        <v>0</v>
      </c>
      <c r="Y106" s="173">
        <f t="shared" si="21"/>
        <v>0</v>
      </c>
      <c r="Z106" s="104">
        <f t="shared" si="22"/>
        <v>1</v>
      </c>
    </row>
    <row r="107" spans="1:26" hidden="1" x14ac:dyDescent="0.25">
      <c r="A107" s="196" t="str">
        <f t="shared" si="33"/>
        <v>Fjerkrægylle</v>
      </c>
      <c r="B107" s="196" t="str">
        <f t="shared" si="34"/>
        <v>Husdyrgødning</v>
      </c>
      <c r="C107" s="196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6">
        <f t="shared" si="35"/>
        <v>2050</v>
      </c>
      <c r="E107" s="194" t="s">
        <v>24</v>
      </c>
      <c r="F107" s="197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1444.9923324342087</v>
      </c>
      <c r="G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4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712.10734765283848</v>
      </c>
      <c r="K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539.16699179429202</v>
      </c>
      <c r="L107" s="197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9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6">
        <f t="shared" si="23"/>
        <v>193.71799298707833</v>
      </c>
      <c r="O107" s="197">
        <f t="shared" si="20"/>
        <v>193.71799298707833</v>
      </c>
      <c r="P107" s="207">
        <f t="shared" si="24"/>
        <v>712.10734765283848</v>
      </c>
      <c r="Q107" s="194">
        <f>IFERROR(VLOOKUP(A107,[1]Energiindhold!$A$2:$C$11,3,FALSE),IFERROR(VLOOKUP(A107,[1]Biogasudbytte!$A$2:$B$18,2,FALSE)*[1]Energiindhold!$C$10,0))*O107</f>
        <v>9.1103634921893068E-5</v>
      </c>
      <c r="R107" s="194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4.2600059944954648E-4</v>
      </c>
      <c r="S107" s="194">
        <f>IFERROR(VLOOKUP(A107,[1]Biogasudbytte!$A$2:$B$18,2,FALSE)*[1]Energiindhold!$C$10,0)*J107*IFERROR(VLOOKUP(A107,Biogasanlæg!$F$3:$G$8,2,FALSE),1)</f>
        <v>3.3489696452765344E-4</v>
      </c>
      <c r="T107" s="195">
        <f t="shared" si="25"/>
        <v>9.1103634921893041E-5</v>
      </c>
      <c r="U107" s="193">
        <f>O107*IFERROR(VLOOKUP(A107,[1]Tørstofindhold!A$2:B$25,2,FALSE),0)</f>
        <v>12.204233558185935</v>
      </c>
      <c r="V107" s="194">
        <f>IF(D107=År1,P107,SUM(O107,P107))*IFERROR(VLOOKUP(A107,[1]Tørstofindhold!A$2:B$25,2,FALSE),0)</f>
        <v>57.066996460314762</v>
      </c>
      <c r="W107" s="194">
        <f>J107*IFERROR(VLOOKUP(A107,[1]Tørstofindhold!A$2:B$25,2,FALSE),0)</f>
        <v>44.862762902128821</v>
      </c>
      <c r="X107" s="195">
        <f t="shared" si="26"/>
        <v>12.20423355818594</v>
      </c>
      <c r="Y107" s="173">
        <f t="shared" si="21"/>
        <v>0</v>
      </c>
      <c r="Z107" s="104">
        <f t="shared" si="22"/>
        <v>1</v>
      </c>
    </row>
    <row r="108" spans="1:26" hidden="1" x14ac:dyDescent="0.25">
      <c r="A108" s="196" t="str">
        <f t="shared" si="33"/>
        <v>Fjerkrækød</v>
      </c>
      <c r="B108" s="196" t="str">
        <f t="shared" si="34"/>
        <v/>
      </c>
      <c r="C108" s="196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6">
        <f t="shared" si="35"/>
        <v>2050</v>
      </c>
      <c r="E108" s="194" t="s">
        <v>24</v>
      </c>
      <c r="F108" s="197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927.46485322482272</v>
      </c>
      <c r="G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4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0</v>
      </c>
      <c r="J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7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9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6">
        <f t="shared" si="23"/>
        <v>927.46485322482272</v>
      </c>
      <c r="O108" s="197">
        <f t="shared" si="20"/>
        <v>0</v>
      </c>
      <c r="P108" s="207">
        <f t="shared" si="24"/>
        <v>0</v>
      </c>
      <c r="Q108" s="194">
        <f>IFERROR(VLOOKUP(A108,[1]Energiindhold!$A$2:$C$11,3,FALSE),IFERROR(VLOOKUP(A108,[1]Biogasudbytte!$A$2:$B$18,2,FALSE)*[1]Energiindhold!$C$10,0))*O108</f>
        <v>0</v>
      </c>
      <c r="R108" s="194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4">
        <f>IFERROR(VLOOKUP(A108,[1]Biogasudbytte!$A$2:$B$18,2,FALSE)*[1]Energiindhold!$C$10,0)*J108*IFERROR(VLOOKUP(A108,Biogasanlæg!$F$3:$G$8,2,FALSE),1)</f>
        <v>0</v>
      </c>
      <c r="T108" s="195">
        <f t="shared" si="25"/>
        <v>0</v>
      </c>
      <c r="U108" s="193">
        <f>O108*IFERROR(VLOOKUP(A108,[1]Tørstofindhold!A$2:B$25,2,FALSE),0)</f>
        <v>0</v>
      </c>
      <c r="V108" s="194">
        <f>IF(D108=År1,P108,SUM(O108,P108))*IFERROR(VLOOKUP(A108,[1]Tørstofindhold!A$2:B$25,2,FALSE),0)</f>
        <v>0</v>
      </c>
      <c r="W108" s="194">
        <f>J108*IFERROR(VLOOKUP(A108,[1]Tørstofindhold!A$2:B$25,2,FALSE),0)</f>
        <v>0</v>
      </c>
      <c r="X108" s="195">
        <f t="shared" si="26"/>
        <v>0</v>
      </c>
      <c r="Y108" s="173">
        <f t="shared" si="21"/>
        <v>0</v>
      </c>
      <c r="Z108" s="104">
        <f t="shared" si="22"/>
        <v>1</v>
      </c>
    </row>
    <row r="109" spans="1:26" hidden="1" x14ac:dyDescent="0.25">
      <c r="A109" s="196" t="str">
        <f t="shared" si="33"/>
        <v>Frø</v>
      </c>
      <c r="B109" s="196" t="str">
        <f t="shared" si="34"/>
        <v/>
      </c>
      <c r="C109" s="196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6">
        <f t="shared" si="35"/>
        <v>2050</v>
      </c>
      <c r="E109" s="194" t="s">
        <v>24</v>
      </c>
      <c r="F109" s="197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116828.38870778363</v>
      </c>
      <c r="G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4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7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9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6">
        <f t="shared" si="23"/>
        <v>116828.38870778363</v>
      </c>
      <c r="O109" s="197">
        <f t="shared" si="20"/>
        <v>0</v>
      </c>
      <c r="P109" s="207">
        <f t="shared" si="24"/>
        <v>0</v>
      </c>
      <c r="Q109" s="194">
        <f>IFERROR(VLOOKUP(A109,[1]Energiindhold!$A$2:$C$11,3,FALSE),IFERROR(VLOOKUP(A109,[1]Biogasudbytte!$A$2:$B$18,2,FALSE)*[1]Energiindhold!$C$10,0))*O109</f>
        <v>0</v>
      </c>
      <c r="R109" s="194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4">
        <f>IFERROR(VLOOKUP(A109,[1]Biogasudbytte!$A$2:$B$18,2,FALSE)*[1]Energiindhold!$C$10,0)*J109*IFERROR(VLOOKUP(A109,Biogasanlæg!$F$3:$G$8,2,FALSE),1)</f>
        <v>0</v>
      </c>
      <c r="T109" s="195">
        <f t="shared" si="25"/>
        <v>0</v>
      </c>
      <c r="U109" s="193">
        <f>O109*IFERROR(VLOOKUP(A109,[1]Tørstofindhold!A$2:B$25,2,FALSE),0)</f>
        <v>0</v>
      </c>
      <c r="V109" s="194">
        <f>IF(D109=År1,P109,SUM(O109,P109))*IFERROR(VLOOKUP(A109,[1]Tørstofindhold!A$2:B$25,2,FALSE),0)</f>
        <v>0</v>
      </c>
      <c r="W109" s="194">
        <f>J109*IFERROR(VLOOKUP(A109,[1]Tørstofindhold!A$2:B$25,2,FALSE),0)</f>
        <v>0</v>
      </c>
      <c r="X109" s="195">
        <f t="shared" si="26"/>
        <v>0</v>
      </c>
      <c r="Y109" s="173">
        <f t="shared" si="21"/>
        <v>0</v>
      </c>
      <c r="Z109" s="104">
        <f t="shared" si="22"/>
        <v>1</v>
      </c>
    </row>
    <row r="110" spans="1:26" hidden="1" x14ac:dyDescent="0.25">
      <c r="A110" s="196" t="str">
        <f t="shared" si="33"/>
        <v>Frugt</v>
      </c>
      <c r="B110" s="196" t="str">
        <f t="shared" si="34"/>
        <v/>
      </c>
      <c r="C110" s="196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6">
        <f t="shared" si="35"/>
        <v>2050</v>
      </c>
      <c r="E110" s="194" t="s">
        <v>24</v>
      </c>
      <c r="F110" s="197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95084.225804193949</v>
      </c>
      <c r="G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4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7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9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6">
        <f t="shared" si="23"/>
        <v>-172894.69454682752</v>
      </c>
      <c r="O110" s="197">
        <f t="shared" si="20"/>
        <v>0</v>
      </c>
      <c r="P110" s="207">
        <f t="shared" si="24"/>
        <v>0</v>
      </c>
      <c r="Q110" s="194">
        <f>IFERROR(VLOOKUP(A110,[1]Energiindhold!$A$2:$C$11,3,FALSE),IFERROR(VLOOKUP(A110,[1]Biogasudbytte!$A$2:$B$18,2,FALSE)*[1]Energiindhold!$C$10,0))*O110</f>
        <v>0</v>
      </c>
      <c r="R110" s="194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4">
        <f>IFERROR(VLOOKUP(A110,[1]Biogasudbytte!$A$2:$B$18,2,FALSE)*[1]Energiindhold!$C$10,0)*J110*IFERROR(VLOOKUP(A110,Biogasanlæg!$F$3:$G$8,2,FALSE),1)</f>
        <v>0</v>
      </c>
      <c r="T110" s="195">
        <f t="shared" si="25"/>
        <v>0</v>
      </c>
      <c r="U110" s="193">
        <f>O110*IFERROR(VLOOKUP(A110,[1]Tørstofindhold!A$2:B$25,2,FALSE),0)</f>
        <v>0</v>
      </c>
      <c r="V110" s="194">
        <f>IF(D110=År1,P110,SUM(O110,P110))*IFERROR(VLOOKUP(A110,[1]Tørstofindhold!A$2:B$25,2,FALSE),0)</f>
        <v>0</v>
      </c>
      <c r="W110" s="194">
        <f>J110*IFERROR(VLOOKUP(A110,[1]Tørstofindhold!A$2:B$25,2,FALSE),0)</f>
        <v>0</v>
      </c>
      <c r="X110" s="195">
        <f t="shared" si="26"/>
        <v>0</v>
      </c>
      <c r="Y110" s="173">
        <f t="shared" si="21"/>
        <v>1</v>
      </c>
      <c r="Z110" s="104">
        <f t="shared" si="22"/>
        <v>0</v>
      </c>
    </row>
    <row r="111" spans="1:26" hidden="1" x14ac:dyDescent="0.25">
      <c r="A111" s="196" t="str">
        <f t="shared" si="33"/>
        <v>Glycerin</v>
      </c>
      <c r="B111" s="196" t="str">
        <f t="shared" si="34"/>
        <v>Glycerin</v>
      </c>
      <c r="C111" s="196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6">
        <f t="shared" si="35"/>
        <v>2050</v>
      </c>
      <c r="E111" s="194" t="s">
        <v>24</v>
      </c>
      <c r="F111" s="197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4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0</v>
      </c>
      <c r="K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7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9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6">
        <f t="shared" si="23"/>
        <v>0</v>
      </c>
      <c r="O111" s="197">
        <f t="shared" si="20"/>
        <v>0</v>
      </c>
      <c r="P111" s="207">
        <f t="shared" si="24"/>
        <v>0</v>
      </c>
      <c r="Q111" s="194">
        <f>IFERROR(VLOOKUP(A111,[1]Energiindhold!$A$2:$C$11,3,FALSE),IFERROR(VLOOKUP(A111,[1]Biogasudbytte!$A$2:$B$18,2,FALSE)*[1]Energiindhold!$C$10,0))*O111</f>
        <v>0</v>
      </c>
      <c r="R111" s="194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0</v>
      </c>
      <c r="S111" s="194">
        <f>IFERROR(VLOOKUP(A111,[1]Biogasudbytte!$A$2:$B$18,2,FALSE)*[1]Energiindhold!$C$10,0)*J111*IFERROR(VLOOKUP(A111,Biogasanlæg!$F$3:$G$8,2,FALSE),1)</f>
        <v>0</v>
      </c>
      <c r="T111" s="195">
        <f t="shared" si="25"/>
        <v>0</v>
      </c>
      <c r="U111" s="193">
        <f>O111*IFERROR(VLOOKUP(A111,[1]Tørstofindhold!A$2:B$25,2,FALSE),0)</f>
        <v>0</v>
      </c>
      <c r="V111" s="194">
        <f>IF(D111=År1,P111,SUM(O111,P111))*IFERROR(VLOOKUP(A111,[1]Tørstofindhold!A$2:B$25,2,FALSE),0)</f>
        <v>0</v>
      </c>
      <c r="W111" s="194">
        <f>J111*IFERROR(VLOOKUP(A111,[1]Tørstofindhold!A$2:B$25,2,FALSE),0)</f>
        <v>0</v>
      </c>
      <c r="X111" s="195">
        <f t="shared" si="26"/>
        <v>0</v>
      </c>
      <c r="Y111" s="173">
        <f t="shared" si="21"/>
        <v>0</v>
      </c>
      <c r="Z111" s="104">
        <f t="shared" si="22"/>
        <v>0</v>
      </c>
    </row>
    <row r="112" spans="1:26" hidden="1" x14ac:dyDescent="0.25">
      <c r="A112" s="196" t="str">
        <f t="shared" si="33"/>
        <v>Græs</v>
      </c>
      <c r="B112" s="196" t="str">
        <f t="shared" si="34"/>
        <v>Græs og urter</v>
      </c>
      <c r="C112" s="196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6">
        <f t="shared" si="35"/>
        <v>2050</v>
      </c>
      <c r="E112" s="194" t="s">
        <v>24</v>
      </c>
      <c r="F112" s="197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1484191.1539502868</v>
      </c>
      <c r="G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1223768.9909258301</v>
      </c>
      <c r="H112" s="194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0</v>
      </c>
      <c r="K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7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9">
        <f>SUMIFS('Forbrug af biomasse'!E:E,'Forbrug af biomasse'!C:C,'Resultat-Produktion &amp; forbrug'!$A112,'Forbrug af biomasse'!D:D,'Resultat-Produktion &amp; forbrug'!$D112,'Forbrug af biomasse'!G:G,1,'Forbrug af biomasse'!B:B,$E112)</f>
        <v>776923.6467615068</v>
      </c>
      <c r="N112" s="206">
        <f t="shared" si="23"/>
        <v>-516501.48373705009</v>
      </c>
      <c r="O112" s="197">
        <f t="shared" si="20"/>
        <v>0</v>
      </c>
      <c r="P112" s="207">
        <f t="shared" si="24"/>
        <v>0</v>
      </c>
      <c r="Q112" s="194">
        <f>IFERROR(VLOOKUP(A112,[1]Energiindhold!$A$2:$C$11,3,FALSE),IFERROR(VLOOKUP(A112,[1]Biogasudbytte!$A$2:$B$18,2,FALSE)*[1]Energiindhold!$C$10,0))*O112</f>
        <v>0</v>
      </c>
      <c r="R112" s="194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0</v>
      </c>
      <c r="S112" s="194">
        <f>IFERROR(VLOOKUP(A112,[1]Biogasudbytte!$A$2:$B$18,2,FALSE)*[1]Energiindhold!$C$10,0)*J112*IFERROR(VLOOKUP(A112,Biogasanlæg!$F$3:$G$8,2,FALSE),1)</f>
        <v>0</v>
      </c>
      <c r="T112" s="195">
        <f t="shared" si="25"/>
        <v>0</v>
      </c>
      <c r="U112" s="193">
        <f>O112*IFERROR(VLOOKUP(A112,[1]Tørstofindhold!A$2:B$25,2,FALSE),0)</f>
        <v>0</v>
      </c>
      <c r="V112" s="194">
        <f>IF(D112=År1,P112,SUM(O112,P112))*IFERROR(VLOOKUP(A112,[1]Tørstofindhold!A$2:B$25,2,FALSE),0)</f>
        <v>0</v>
      </c>
      <c r="W112" s="194">
        <f>J112*IFERROR(VLOOKUP(A112,[1]Tørstofindhold!A$2:B$25,2,FALSE),0)</f>
        <v>0</v>
      </c>
      <c r="X112" s="195">
        <f t="shared" si="26"/>
        <v>0</v>
      </c>
      <c r="Y112" s="173">
        <f t="shared" si="21"/>
        <v>0</v>
      </c>
      <c r="Z112" s="104">
        <f t="shared" si="22"/>
        <v>1</v>
      </c>
    </row>
    <row r="113" spans="1:26" hidden="1" x14ac:dyDescent="0.25">
      <c r="A113" s="196" t="str">
        <f t="shared" si="33"/>
        <v>Græsprotein</v>
      </c>
      <c r="B113" s="196" t="str">
        <f t="shared" si="34"/>
        <v/>
      </c>
      <c r="C113" s="196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6">
        <f t="shared" si="35"/>
        <v>2050</v>
      </c>
      <c r="E113" s="194" t="s">
        <v>24</v>
      </c>
      <c r="F113" s="197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129879.40736484005</v>
      </c>
      <c r="G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129879.40736484004</v>
      </c>
      <c r="H113" s="194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7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9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6">
        <f t="shared" si="23"/>
        <v>0</v>
      </c>
      <c r="O113" s="197">
        <f t="shared" si="20"/>
        <v>0</v>
      </c>
      <c r="P113" s="207">
        <f t="shared" si="24"/>
        <v>0</v>
      </c>
      <c r="Q113" s="194">
        <f>IFERROR(VLOOKUP(A113,[1]Energiindhold!$A$2:$C$11,3,FALSE),IFERROR(VLOOKUP(A113,[1]Biogasudbytte!$A$2:$B$18,2,FALSE)*[1]Energiindhold!$C$10,0))*O113</f>
        <v>0</v>
      </c>
      <c r="R113" s="194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4">
        <f>IFERROR(VLOOKUP(A113,[1]Biogasudbytte!$A$2:$B$18,2,FALSE)*[1]Energiindhold!$C$10,0)*J113*IFERROR(VLOOKUP(A113,Biogasanlæg!$F$3:$G$8,2,FALSE),1)</f>
        <v>0</v>
      </c>
      <c r="T113" s="195">
        <f t="shared" si="25"/>
        <v>0</v>
      </c>
      <c r="U113" s="193">
        <f>O113*IFERROR(VLOOKUP(A113,[1]Tørstofindhold!A$2:B$25,2,FALSE),0)</f>
        <v>0</v>
      </c>
      <c r="V113" s="194">
        <f>IF(D113=År1,P113,SUM(O113,P113))*IFERROR(VLOOKUP(A113,[1]Tørstofindhold!A$2:B$25,2,FALSE),0)</f>
        <v>0</v>
      </c>
      <c r="W113" s="194">
        <f>J113*IFERROR(VLOOKUP(A113,[1]Tørstofindhold!A$2:B$25,2,FALSE),0)</f>
        <v>0</v>
      </c>
      <c r="X113" s="195">
        <f t="shared" si="26"/>
        <v>0</v>
      </c>
      <c r="Y113" s="173">
        <f t="shared" si="21"/>
        <v>0</v>
      </c>
      <c r="Z113" s="104">
        <f t="shared" si="22"/>
        <v>0</v>
      </c>
    </row>
    <row r="114" spans="1:26" hidden="1" x14ac:dyDescent="0.25">
      <c r="A114" s="196" t="str">
        <f t="shared" si="33"/>
        <v>Grøntsager</v>
      </c>
      <c r="B114" s="196" t="str">
        <f t="shared" si="34"/>
        <v/>
      </c>
      <c r="C114" s="196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6">
        <f t="shared" si="35"/>
        <v>2050</v>
      </c>
      <c r="E114" s="194" t="s">
        <v>24</v>
      </c>
      <c r="F114" s="197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520430.19403510873</v>
      </c>
      <c r="G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4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7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9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6">
        <f t="shared" si="23"/>
        <v>239757.53535167046</v>
      </c>
      <c r="O114" s="197">
        <f t="shared" si="20"/>
        <v>0</v>
      </c>
      <c r="P114" s="207">
        <f t="shared" si="24"/>
        <v>0</v>
      </c>
      <c r="Q114" s="194">
        <f>IFERROR(VLOOKUP(A114,[1]Energiindhold!$A$2:$C$11,3,FALSE),IFERROR(VLOOKUP(A114,[1]Biogasudbytte!$A$2:$B$18,2,FALSE)*[1]Energiindhold!$C$10,0))*O114</f>
        <v>0</v>
      </c>
      <c r="R114" s="194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4">
        <f>IFERROR(VLOOKUP(A114,[1]Biogasudbytte!$A$2:$B$18,2,FALSE)*[1]Energiindhold!$C$10,0)*J114*IFERROR(VLOOKUP(A114,Biogasanlæg!$F$3:$G$8,2,FALSE),1)</f>
        <v>0</v>
      </c>
      <c r="T114" s="195">
        <f t="shared" si="25"/>
        <v>0</v>
      </c>
      <c r="U114" s="193">
        <f>O114*IFERROR(VLOOKUP(A114,[1]Tørstofindhold!A$2:B$25,2,FALSE),0)</f>
        <v>0</v>
      </c>
      <c r="V114" s="194">
        <f>IF(D114=År1,P114,SUM(O114,P114))*IFERROR(VLOOKUP(A114,[1]Tørstofindhold!A$2:B$25,2,FALSE),0)</f>
        <v>0</v>
      </c>
      <c r="W114" s="194">
        <f>J114*IFERROR(VLOOKUP(A114,[1]Tørstofindhold!A$2:B$25,2,FALSE),0)</f>
        <v>0</v>
      </c>
      <c r="X114" s="195">
        <f t="shared" si="26"/>
        <v>0</v>
      </c>
      <c r="Y114" s="173">
        <f t="shared" si="21"/>
        <v>0</v>
      </c>
      <c r="Z114" s="104">
        <f t="shared" si="22"/>
        <v>1</v>
      </c>
    </row>
    <row r="115" spans="1:26" hidden="1" x14ac:dyDescent="0.25">
      <c r="A115" s="196" t="str">
        <f t="shared" si="33"/>
        <v>Halm</v>
      </c>
      <c r="B115" s="196" t="str">
        <f t="shared" si="34"/>
        <v>Halm og strå</v>
      </c>
      <c r="C115" s="196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6">
        <f t="shared" si="35"/>
        <v>2050</v>
      </c>
      <c r="E115" s="194" t="s">
        <v>24</v>
      </c>
      <c r="F115" s="197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247438.43863194692</v>
      </c>
      <c r="G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77308.589354292635</v>
      </c>
      <c r="H115" s="194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66293.363186171628</v>
      </c>
      <c r="I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0</v>
      </c>
      <c r="K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7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103753.18781488619</v>
      </c>
      <c r="M115" s="159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6">
        <f t="shared" si="23"/>
        <v>83.298276596469805</v>
      </c>
      <c r="O115" s="197">
        <f t="shared" si="20"/>
        <v>83.298276596469805</v>
      </c>
      <c r="P115" s="207">
        <f t="shared" si="24"/>
        <v>103753.18781488619</v>
      </c>
      <c r="Q115" s="194">
        <f>IFERROR(VLOOKUP(A115,[1]Energiindhold!$A$2:$C$11,3,FALSE),IFERROR(VLOOKUP(A115,[1]Biogasudbytte!$A$2:$B$18,2,FALSE)*[1]Energiindhold!$C$10,0))*O115</f>
        <v>8.6095485528476037E-4</v>
      </c>
      <c r="R115" s="194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1.0732338111777837</v>
      </c>
      <c r="S115" s="194">
        <f>IFERROR(VLOOKUP(A115,[1]Biogasudbytte!$A$2:$B$18,2,FALSE)*[1]Energiindhold!$C$10,0)*J115*IFERROR(VLOOKUP(A115,Biogasanlæg!$F$3:$G$8,2,FALSE),1)</f>
        <v>0</v>
      </c>
      <c r="T115" s="195">
        <f t="shared" si="25"/>
        <v>1.0732338111777837</v>
      </c>
      <c r="U115" s="193">
        <f>O115*IFERROR(VLOOKUP(A115,[1]Tørstofindhold!A$2:B$25,2,FALSE),0)</f>
        <v>70.803535106999334</v>
      </c>
      <c r="V115" s="194">
        <f>IF(D115=År1,P115,SUM(O115,P115))*IFERROR(VLOOKUP(A115,[1]Tørstofindhold!A$2:B$25,2,FALSE),0)</f>
        <v>88261.013177760251</v>
      </c>
      <c r="W115" s="194">
        <f>J115*IFERROR(VLOOKUP(A115,[1]Tørstofindhold!A$2:B$25,2,FALSE),0)</f>
        <v>0</v>
      </c>
      <c r="X115" s="195">
        <f t="shared" si="26"/>
        <v>88261.013177760251</v>
      </c>
      <c r="Y115" s="173">
        <f t="shared" si="21"/>
        <v>0</v>
      </c>
      <c r="Z115" s="104">
        <f t="shared" si="22"/>
        <v>1</v>
      </c>
    </row>
    <row r="116" spans="1:26" hidden="1" x14ac:dyDescent="0.25">
      <c r="A116" s="196" t="str">
        <f t="shared" si="33"/>
        <v>Have/parkaffald</v>
      </c>
      <c r="B116" s="196" t="str">
        <f t="shared" si="34"/>
        <v>Bionedbrydeligt affald</v>
      </c>
      <c r="C116" s="196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6">
        <f t="shared" si="35"/>
        <v>2050</v>
      </c>
      <c r="E116" s="194" t="s">
        <v>24</v>
      </c>
      <c r="F116" s="197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4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0</v>
      </c>
      <c r="K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7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524881.97503939818</v>
      </c>
      <c r="M116" s="159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6">
        <f t="shared" si="23"/>
        <v>0</v>
      </c>
      <c r="O116" s="197">
        <f t="shared" si="20"/>
        <v>0</v>
      </c>
      <c r="P116" s="207">
        <f t="shared" si="24"/>
        <v>524881.97503939818</v>
      </c>
      <c r="Q116" s="194">
        <f>IFERROR(VLOOKUP(A116,[1]Energiindhold!$A$2:$C$11,3,FALSE),IFERROR(VLOOKUP(A116,[1]Biogasudbytte!$A$2:$B$18,2,FALSE)*[1]Energiindhold!$C$10,0))*O116</f>
        <v>0</v>
      </c>
      <c r="R116" s="194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9.3703087657301456</v>
      </c>
      <c r="S116" s="194">
        <f>IFERROR(VLOOKUP(A116,[1]Biogasudbytte!$A$2:$B$18,2,FALSE)*[1]Energiindhold!$C$10,0)*J116*IFERROR(VLOOKUP(A116,Biogasanlæg!$F$3:$G$8,2,FALSE),1)</f>
        <v>0</v>
      </c>
      <c r="T116" s="195">
        <f t="shared" si="25"/>
        <v>9.3703087657301456</v>
      </c>
      <c r="U116" s="193">
        <f>O116*IFERROR(VLOOKUP(A116,[1]Tørstofindhold!A$2:B$25,2,FALSE),0)</f>
        <v>0</v>
      </c>
      <c r="V116" s="194">
        <f>IF(D116=År1,P116,SUM(O116,P116))*IFERROR(VLOOKUP(A116,[1]Tørstofindhold!A$2:B$25,2,FALSE),0)</f>
        <v>157464.59251181944</v>
      </c>
      <c r="W116" s="194">
        <f>J116*IFERROR(VLOOKUP(A116,[1]Tørstofindhold!A$2:B$25,2,FALSE),0)</f>
        <v>0</v>
      </c>
      <c r="X116" s="195">
        <f t="shared" si="26"/>
        <v>157464.59251181944</v>
      </c>
      <c r="Y116" s="173">
        <f t="shared" si="21"/>
        <v>0</v>
      </c>
      <c r="Z116" s="104">
        <f t="shared" si="22"/>
        <v>0</v>
      </c>
    </row>
    <row r="117" spans="1:26" hidden="1" x14ac:dyDescent="0.25">
      <c r="A117" s="196" t="str">
        <f t="shared" si="33"/>
        <v>Import af foder</v>
      </c>
      <c r="B117" s="196" t="str">
        <f t="shared" si="34"/>
        <v/>
      </c>
      <c r="C117" s="196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6">
        <f t="shared" si="35"/>
        <v>2050</v>
      </c>
      <c r="E117" s="194" t="s">
        <v>24</v>
      </c>
      <c r="F117" s="197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0</v>
      </c>
      <c r="H117" s="194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7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9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6">
        <f t="shared" si="23"/>
        <v>0</v>
      </c>
      <c r="O117" s="197">
        <f t="shared" si="20"/>
        <v>0</v>
      </c>
      <c r="P117" s="207">
        <f t="shared" si="24"/>
        <v>0</v>
      </c>
      <c r="Q117" s="194">
        <f>IFERROR(VLOOKUP(A117,[1]Energiindhold!$A$2:$C$11,3,FALSE),IFERROR(VLOOKUP(A117,[1]Biogasudbytte!$A$2:$B$18,2,FALSE)*[1]Energiindhold!$C$10,0))*O117</f>
        <v>0</v>
      </c>
      <c r="R117" s="194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4">
        <f>IFERROR(VLOOKUP(A117,[1]Biogasudbytte!$A$2:$B$18,2,FALSE)*[1]Energiindhold!$C$10,0)*J117*IFERROR(VLOOKUP(A117,Biogasanlæg!$F$3:$G$8,2,FALSE),1)</f>
        <v>0</v>
      </c>
      <c r="T117" s="195">
        <f t="shared" si="25"/>
        <v>0</v>
      </c>
      <c r="U117" s="193">
        <f>O117*IFERROR(VLOOKUP(A117,[1]Tørstofindhold!A$2:B$25,2,FALSE),0)</f>
        <v>0</v>
      </c>
      <c r="V117" s="194">
        <f>IF(D117=År1,P117,SUM(O117,P117))*IFERROR(VLOOKUP(A117,[1]Tørstofindhold!A$2:B$25,2,FALSE),0)</f>
        <v>0</v>
      </c>
      <c r="W117" s="194">
        <f>J117*IFERROR(VLOOKUP(A117,[1]Tørstofindhold!A$2:B$25,2,FALSE),0)</f>
        <v>0</v>
      </c>
      <c r="X117" s="195">
        <f t="shared" si="26"/>
        <v>0</v>
      </c>
      <c r="Y117" s="173">
        <f t="shared" si="21"/>
        <v>0</v>
      </c>
      <c r="Z117" s="104">
        <f t="shared" si="22"/>
        <v>0</v>
      </c>
    </row>
    <row r="118" spans="1:26" hidden="1" x14ac:dyDescent="0.25">
      <c r="A118" s="196" t="str">
        <f t="shared" si="33"/>
        <v>Industriaffald</v>
      </c>
      <c r="B118" s="196" t="str">
        <f t="shared" si="34"/>
        <v>Bionedbrydeligt affald</v>
      </c>
      <c r="C118" s="196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6">
        <f t="shared" si="35"/>
        <v>2050</v>
      </c>
      <c r="E118" s="194" t="s">
        <v>24</v>
      </c>
      <c r="F118" s="197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217311.45572171282</v>
      </c>
      <c r="G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4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0</v>
      </c>
      <c r="K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7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9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6">
        <f t="shared" si="23"/>
        <v>217311.45572171282</v>
      </c>
      <c r="O118" s="197">
        <f t="shared" si="20"/>
        <v>217311.45572171282</v>
      </c>
      <c r="P118" s="207">
        <f t="shared" si="24"/>
        <v>0</v>
      </c>
      <c r="Q118" s="194">
        <f>IFERROR(VLOOKUP(A118,[1]Energiindhold!$A$2:$C$11,3,FALSE),IFERROR(VLOOKUP(A118,[1]Biogasudbytte!$A$2:$B$18,2,FALSE)*[1]Energiindhold!$C$10,0))*O118</f>
        <v>0.94163878813142554</v>
      </c>
      <c r="R118" s="194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0.94163878813142554</v>
      </c>
      <c r="S118" s="194">
        <f>IFERROR(VLOOKUP(A118,[1]Biogasudbytte!$A$2:$B$18,2,FALSE)*[1]Energiindhold!$C$10,0)*J118*IFERROR(VLOOKUP(A118,Biogasanlæg!$F$3:$G$8,2,FALSE),1)</f>
        <v>0</v>
      </c>
      <c r="T118" s="195">
        <f t="shared" si="25"/>
        <v>0.94163878813142554</v>
      </c>
      <c r="U118" s="193">
        <f>O118*IFERROR(VLOOKUP(A118,[1]Tørstofindhold!A$2:B$25,2,FALSE),0)</f>
        <v>91270.811403119384</v>
      </c>
      <c r="V118" s="194">
        <f>IF(D118=År1,P118,SUM(O118,P118))*IFERROR(VLOOKUP(A118,[1]Tørstofindhold!A$2:B$25,2,FALSE),0)</f>
        <v>91270.811403119384</v>
      </c>
      <c r="W118" s="194">
        <f>J118*IFERROR(VLOOKUP(A118,[1]Tørstofindhold!A$2:B$25,2,FALSE),0)</f>
        <v>0</v>
      </c>
      <c r="X118" s="195">
        <f t="shared" si="26"/>
        <v>91270.811403119384</v>
      </c>
      <c r="Y118" s="173">
        <f t="shared" si="21"/>
        <v>0</v>
      </c>
      <c r="Z118" s="104">
        <f t="shared" si="22"/>
        <v>1</v>
      </c>
    </row>
    <row r="119" spans="1:26" hidden="1" x14ac:dyDescent="0.25">
      <c r="A119" s="196" t="str">
        <f t="shared" si="33"/>
        <v>Juletræer</v>
      </c>
      <c r="B119" s="196" t="str">
        <f t="shared" si="34"/>
        <v/>
      </c>
      <c r="C119" s="196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6">
        <f t="shared" si="35"/>
        <v>2050</v>
      </c>
      <c r="E119" s="194" t="s">
        <v>24</v>
      </c>
      <c r="F119" s="197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110212.84290198362</v>
      </c>
      <c r="G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4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7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9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6">
        <f t="shared" si="23"/>
        <v>110212.84290198362</v>
      </c>
      <c r="O119" s="197">
        <f t="shared" si="20"/>
        <v>0</v>
      </c>
      <c r="P119" s="207">
        <f t="shared" si="24"/>
        <v>0</v>
      </c>
      <c r="Q119" s="194">
        <f>IFERROR(VLOOKUP(A119,[1]Energiindhold!$A$2:$C$11,3,FALSE),IFERROR(VLOOKUP(A119,[1]Biogasudbytte!$A$2:$B$18,2,FALSE)*[1]Energiindhold!$C$10,0))*O119</f>
        <v>0</v>
      </c>
      <c r="R119" s="194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4">
        <f>IFERROR(VLOOKUP(A119,[1]Biogasudbytte!$A$2:$B$18,2,FALSE)*[1]Energiindhold!$C$10,0)*J119*IFERROR(VLOOKUP(A119,Biogasanlæg!$F$3:$G$8,2,FALSE),1)</f>
        <v>0</v>
      </c>
      <c r="T119" s="195">
        <f t="shared" si="25"/>
        <v>0</v>
      </c>
      <c r="U119" s="193">
        <f>O119*IFERROR(VLOOKUP(A119,[1]Tørstofindhold!A$2:B$25,2,FALSE),0)</f>
        <v>0</v>
      </c>
      <c r="V119" s="194">
        <f>IF(D119=År1,P119,SUM(O119,P119))*IFERROR(VLOOKUP(A119,[1]Tørstofindhold!A$2:B$25,2,FALSE),0)</f>
        <v>0</v>
      </c>
      <c r="W119" s="194">
        <f>J119*IFERROR(VLOOKUP(A119,[1]Tørstofindhold!A$2:B$25,2,FALSE),0)</f>
        <v>0</v>
      </c>
      <c r="X119" s="195">
        <f t="shared" si="26"/>
        <v>0</v>
      </c>
      <c r="Y119" s="173">
        <f t="shared" si="21"/>
        <v>0</v>
      </c>
      <c r="Z119" s="104">
        <f t="shared" si="22"/>
        <v>1</v>
      </c>
    </row>
    <row r="120" spans="1:26" hidden="1" x14ac:dyDescent="0.25">
      <c r="A120" s="196" t="str">
        <f t="shared" si="33"/>
        <v>Kartofler</v>
      </c>
      <c r="B120" s="196" t="str">
        <f t="shared" si="34"/>
        <v/>
      </c>
      <c r="C120" s="196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6">
        <f t="shared" si="35"/>
        <v>2050</v>
      </c>
      <c r="E120" s="194" t="s">
        <v>24</v>
      </c>
      <c r="F120" s="197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303855.43881513749</v>
      </c>
      <c r="G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4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7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9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6">
        <f t="shared" si="23"/>
        <v>175507.64012070087</v>
      </c>
      <c r="O120" s="197">
        <f t="shared" si="20"/>
        <v>0</v>
      </c>
      <c r="P120" s="207">
        <f t="shared" si="24"/>
        <v>0</v>
      </c>
      <c r="Q120" s="194">
        <f>IFERROR(VLOOKUP(A120,[1]Energiindhold!$A$2:$C$11,3,FALSE),IFERROR(VLOOKUP(A120,[1]Biogasudbytte!$A$2:$B$18,2,FALSE)*[1]Energiindhold!$C$10,0))*O120</f>
        <v>0</v>
      </c>
      <c r="R120" s="194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4">
        <f>IFERROR(VLOOKUP(A120,[1]Biogasudbytte!$A$2:$B$18,2,FALSE)*[1]Energiindhold!$C$10,0)*J120*IFERROR(VLOOKUP(A120,Biogasanlæg!$F$3:$G$8,2,FALSE),1)</f>
        <v>0</v>
      </c>
      <c r="T120" s="195">
        <f t="shared" si="25"/>
        <v>0</v>
      </c>
      <c r="U120" s="193">
        <f>O120*IFERROR(VLOOKUP(A120,[1]Tørstofindhold!A$2:B$25,2,FALSE),0)</f>
        <v>0</v>
      </c>
      <c r="V120" s="194">
        <f>IF(D120=År1,P120,SUM(O120,P120))*IFERROR(VLOOKUP(A120,[1]Tørstofindhold!A$2:B$25,2,FALSE),0)</f>
        <v>0</v>
      </c>
      <c r="W120" s="194">
        <f>J120*IFERROR(VLOOKUP(A120,[1]Tørstofindhold!A$2:B$25,2,FALSE),0)</f>
        <v>0</v>
      </c>
      <c r="X120" s="195">
        <f t="shared" si="26"/>
        <v>0</v>
      </c>
      <c r="Y120" s="173">
        <f t="shared" si="21"/>
        <v>0</v>
      </c>
      <c r="Z120" s="104">
        <f t="shared" si="22"/>
        <v>1</v>
      </c>
    </row>
    <row r="121" spans="1:26" hidden="1" x14ac:dyDescent="0.25">
      <c r="A121" s="196" t="str">
        <f t="shared" si="33"/>
        <v>Korn</v>
      </c>
      <c r="B121" s="196" t="str">
        <f t="shared" si="34"/>
        <v>Halm og strå</v>
      </c>
      <c r="C121" s="196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6">
        <f t="shared" si="35"/>
        <v>2050</v>
      </c>
      <c r="E121" s="194" t="s">
        <v>24</v>
      </c>
      <c r="F121" s="197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223399.5256268252</v>
      </c>
      <c r="G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587921.52019956254</v>
      </c>
      <c r="H121" s="194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0</v>
      </c>
      <c r="K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7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9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6">
        <f t="shared" si="23"/>
        <v>-671992.54529127781</v>
      </c>
      <c r="O121" s="197">
        <f t="shared" si="20"/>
        <v>0</v>
      </c>
      <c r="P121" s="207">
        <f t="shared" si="24"/>
        <v>0</v>
      </c>
      <c r="Q121" s="194">
        <f>IFERROR(VLOOKUP(A121,[1]Energiindhold!$A$2:$C$11,3,FALSE),IFERROR(VLOOKUP(A121,[1]Biogasudbytte!$A$2:$B$18,2,FALSE)*[1]Energiindhold!$C$10,0))*O121</f>
        <v>0</v>
      </c>
      <c r="R121" s="194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0</v>
      </c>
      <c r="S121" s="194">
        <f>IFERROR(VLOOKUP(A121,[1]Biogasudbytte!$A$2:$B$18,2,FALSE)*[1]Energiindhold!$C$10,0)*J121*IFERROR(VLOOKUP(A121,Biogasanlæg!$F$3:$G$8,2,FALSE),1)</f>
        <v>0</v>
      </c>
      <c r="T121" s="195">
        <f t="shared" si="25"/>
        <v>0</v>
      </c>
      <c r="U121" s="193">
        <f>O121*IFERROR(VLOOKUP(A121,[1]Tørstofindhold!A$2:B$25,2,FALSE),0)</f>
        <v>0</v>
      </c>
      <c r="V121" s="194">
        <f>IF(D121=År1,P121,SUM(O121,P121))*IFERROR(VLOOKUP(A121,[1]Tørstofindhold!A$2:B$25,2,FALSE),0)</f>
        <v>0</v>
      </c>
      <c r="W121" s="194">
        <f>J121*IFERROR(VLOOKUP(A121,[1]Tørstofindhold!A$2:B$25,2,FALSE),0)</f>
        <v>0</v>
      </c>
      <c r="X121" s="195">
        <f t="shared" si="26"/>
        <v>0</v>
      </c>
      <c r="Y121" s="173">
        <f t="shared" si="21"/>
        <v>0</v>
      </c>
      <c r="Z121" s="104">
        <f t="shared" si="22"/>
        <v>1</v>
      </c>
    </row>
    <row r="122" spans="1:26" hidden="1" x14ac:dyDescent="0.25">
      <c r="A122" s="196" t="str">
        <f t="shared" si="33"/>
        <v>Kunstgødning</v>
      </c>
      <c r="B122" s="196" t="str">
        <f t="shared" si="34"/>
        <v/>
      </c>
      <c r="C122" s="196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6">
        <f t="shared" si="35"/>
        <v>2050</v>
      </c>
      <c r="E122" s="194" t="s">
        <v>24</v>
      </c>
      <c r="F122" s="197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4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7" t="e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#REF!</v>
      </c>
      <c r="L122" s="197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9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6" t="e">
        <f t="shared" ca="1" si="23"/>
        <v>#REF!</v>
      </c>
      <c r="O122" s="197">
        <f t="shared" si="20"/>
        <v>0</v>
      </c>
      <c r="P122" s="207">
        <f t="shared" si="24"/>
        <v>0</v>
      </c>
      <c r="Q122" s="194">
        <f>IFERROR(VLOOKUP(A122,[1]Energiindhold!$A$2:$C$11,3,FALSE),IFERROR(VLOOKUP(A122,[1]Biogasudbytte!$A$2:$B$18,2,FALSE)*[1]Energiindhold!$C$10,0))*O122</f>
        <v>0</v>
      </c>
      <c r="R122" s="194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4">
        <f>IFERROR(VLOOKUP(A122,[1]Biogasudbytte!$A$2:$B$18,2,FALSE)*[1]Energiindhold!$C$10,0)*J122*IFERROR(VLOOKUP(A122,Biogasanlæg!$F$3:$G$8,2,FALSE),1)</f>
        <v>0</v>
      </c>
      <c r="T122" s="195">
        <f t="shared" si="25"/>
        <v>0</v>
      </c>
      <c r="U122" s="193">
        <f>O122*IFERROR(VLOOKUP(A122,[1]Tørstofindhold!A$2:B$25,2,FALSE),0)</f>
        <v>0</v>
      </c>
      <c r="V122" s="194">
        <f>IF(D122=År1,P122,SUM(O122,P122))*IFERROR(VLOOKUP(A122,[1]Tørstofindhold!A$2:B$25,2,FALSE),0)</f>
        <v>0</v>
      </c>
      <c r="W122" s="194">
        <f>J122*IFERROR(VLOOKUP(A122,[1]Tørstofindhold!A$2:B$25,2,FALSE),0)</f>
        <v>0</v>
      </c>
      <c r="X122" s="195">
        <f t="shared" si="26"/>
        <v>0</v>
      </c>
      <c r="Y122" s="173" t="e">
        <f t="shared" ca="1" si="21"/>
        <v>#REF!</v>
      </c>
      <c r="Z122" s="104" t="e">
        <f t="shared" ca="1" si="22"/>
        <v>#REF!</v>
      </c>
    </row>
    <row r="123" spans="1:26" hidden="1" x14ac:dyDescent="0.25">
      <c r="A123" s="196" t="str">
        <f t="shared" si="33"/>
        <v>Kvæggylle</v>
      </c>
      <c r="B123" s="196" t="str">
        <f t="shared" si="34"/>
        <v>Husdyrgødning</v>
      </c>
      <c r="C123" s="196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6">
        <f t="shared" si="35"/>
        <v>2050</v>
      </c>
      <c r="E123" s="194" t="s">
        <v>24</v>
      </c>
      <c r="F123" s="197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813923.80663677445</v>
      </c>
      <c r="G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4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579009.4919217953</v>
      </c>
      <c r="K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121134.88054679664</v>
      </c>
      <c r="L123" s="197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9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6">
        <f t="shared" si="23"/>
        <v>113779.43416818255</v>
      </c>
      <c r="O123" s="197">
        <f t="shared" si="20"/>
        <v>113779.43416818255</v>
      </c>
      <c r="P123" s="207">
        <f t="shared" si="24"/>
        <v>579009.4919217953</v>
      </c>
      <c r="Q123" s="194">
        <f>IFERROR(VLOOKUP(A123,[1]Energiindhold!$A$2:$C$11,3,FALSE),IFERROR(VLOOKUP(A123,[1]Biogasudbytte!$A$2:$B$18,2,FALSE)*[1]Energiindhold!$C$10,0))*O123</f>
        <v>5.7594011781592333E-2</v>
      </c>
      <c r="R123" s="194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0.35068282649748594</v>
      </c>
      <c r="S123" s="194">
        <f>IFERROR(VLOOKUP(A123,[1]Biogasudbytte!$A$2:$B$18,2,FALSE)*[1]Energiindhold!$C$10,0)*J123*IFERROR(VLOOKUP(A123,Biogasanlæg!$F$3:$G$8,2,FALSE),1)</f>
        <v>0.2930888147158936</v>
      </c>
      <c r="T123" s="195">
        <f t="shared" si="25"/>
        <v>5.7594011781592347E-2</v>
      </c>
      <c r="U123" s="193">
        <f>O123*IFERROR(VLOOKUP(A123,[1]Tørstofindhold!A$2:B$25,2,FALSE),0)</f>
        <v>8647.236996781874</v>
      </c>
      <c r="V123" s="194">
        <f>IF(D123=År1,P123,SUM(O123,P123))*IFERROR(VLOOKUP(A123,[1]Tørstofindhold!A$2:B$25,2,FALSE),0)</f>
        <v>52651.958382838318</v>
      </c>
      <c r="W123" s="194">
        <f>J123*IFERROR(VLOOKUP(A123,[1]Tørstofindhold!A$2:B$25,2,FALSE),0)</f>
        <v>44004.721386056444</v>
      </c>
      <c r="X123" s="195">
        <f t="shared" si="26"/>
        <v>8647.236996781874</v>
      </c>
      <c r="Y123" s="173">
        <f t="shared" si="21"/>
        <v>0</v>
      </c>
      <c r="Z123" s="104">
        <f t="shared" si="22"/>
        <v>1</v>
      </c>
    </row>
    <row r="124" spans="1:26" hidden="1" x14ac:dyDescent="0.25">
      <c r="A124" s="196" t="str">
        <f t="shared" si="33"/>
        <v>Mælk til foder</v>
      </c>
      <c r="B124" s="196" t="str">
        <f t="shared" si="34"/>
        <v/>
      </c>
      <c r="C124" s="196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6">
        <f t="shared" si="35"/>
        <v>2050</v>
      </c>
      <c r="E124" s="194" t="s">
        <v>24</v>
      </c>
      <c r="F124" s="197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96985.656725070323</v>
      </c>
      <c r="G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151571.41736670118</v>
      </c>
      <c r="H124" s="194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7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9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6">
        <f t="shared" si="23"/>
        <v>-54585.760641630855</v>
      </c>
      <c r="O124" s="197">
        <f t="shared" si="20"/>
        <v>0</v>
      </c>
      <c r="P124" s="207">
        <f t="shared" si="24"/>
        <v>0</v>
      </c>
      <c r="Q124" s="194">
        <f>IFERROR(VLOOKUP(A124,[1]Energiindhold!$A$2:$C$11,3,FALSE),IFERROR(VLOOKUP(A124,[1]Biogasudbytte!$A$2:$B$18,2,FALSE)*[1]Energiindhold!$C$10,0))*O124</f>
        <v>0</v>
      </c>
      <c r="R124" s="194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4">
        <f>IFERROR(VLOOKUP(A124,[1]Biogasudbytte!$A$2:$B$18,2,FALSE)*[1]Energiindhold!$C$10,0)*J124*IFERROR(VLOOKUP(A124,Biogasanlæg!$F$3:$G$8,2,FALSE),1)</f>
        <v>0</v>
      </c>
      <c r="T124" s="195">
        <f t="shared" si="25"/>
        <v>0</v>
      </c>
      <c r="U124" s="193">
        <f>O124*IFERROR(VLOOKUP(A124,[1]Tørstofindhold!A$2:B$25,2,FALSE),0)</f>
        <v>0</v>
      </c>
      <c r="V124" s="194">
        <f>IF(D124=År1,P124,SUM(O124,P124))*IFERROR(VLOOKUP(A124,[1]Tørstofindhold!A$2:B$25,2,FALSE),0)</f>
        <v>0</v>
      </c>
      <c r="W124" s="194">
        <f>J124*IFERROR(VLOOKUP(A124,[1]Tørstofindhold!A$2:B$25,2,FALSE),0)</f>
        <v>0</v>
      </c>
      <c r="X124" s="195">
        <f t="shared" si="26"/>
        <v>0</v>
      </c>
      <c r="Y124" s="173">
        <f t="shared" si="21"/>
        <v>1</v>
      </c>
      <c r="Z124" s="104">
        <f t="shared" si="22"/>
        <v>0</v>
      </c>
    </row>
    <row r="125" spans="1:26" hidden="1" x14ac:dyDescent="0.25">
      <c r="A125" s="196" t="str">
        <f t="shared" si="33"/>
        <v>Majs</v>
      </c>
      <c r="B125" s="196" t="str">
        <f t="shared" si="34"/>
        <v>Græs og urter</v>
      </c>
      <c r="C125" s="196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6">
        <f t="shared" si="35"/>
        <v>2050</v>
      </c>
      <c r="E125" s="194" t="s">
        <v>24</v>
      </c>
      <c r="F125" s="197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678402.70281965565</v>
      </c>
      <c r="G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565705.37864699645</v>
      </c>
      <c r="H125" s="194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0</v>
      </c>
      <c r="K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7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9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6">
        <f t="shared" si="23"/>
        <v>112697.3241726592</v>
      </c>
      <c r="O125" s="197">
        <f t="shared" si="20"/>
        <v>112697.3241726592</v>
      </c>
      <c r="P125" s="207">
        <f t="shared" si="24"/>
        <v>0</v>
      </c>
      <c r="Q125" s="194">
        <f>IFERROR(VLOOKUP(A125,[1]Energiindhold!$A$2:$C$11,3,FALSE),IFERROR(VLOOKUP(A125,[1]Biogasudbytte!$A$2:$B$18,2,FALSE)*[1]Energiindhold!$C$10,0))*O125</f>
        <v>0.40458339377984653</v>
      </c>
      <c r="R125" s="194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0.40458339377984653</v>
      </c>
      <c r="S125" s="194">
        <f>IFERROR(VLOOKUP(A125,[1]Biogasudbytte!$A$2:$B$18,2,FALSE)*[1]Energiindhold!$C$10,0)*J125*IFERROR(VLOOKUP(A125,Biogasanlæg!$F$3:$G$8,2,FALSE),1)</f>
        <v>0</v>
      </c>
      <c r="T125" s="195">
        <f t="shared" si="25"/>
        <v>0.40458339377984653</v>
      </c>
      <c r="U125" s="193">
        <f>O125*IFERROR(VLOOKUP(A125,[1]Tørstofindhold!A$2:B$25,2,FALSE),0)</f>
        <v>33809.197251797756</v>
      </c>
      <c r="V125" s="194">
        <f>IF(D125=År1,P125,SUM(O125,P125))*IFERROR(VLOOKUP(A125,[1]Tørstofindhold!A$2:B$25,2,FALSE),0)</f>
        <v>33809.197251797756</v>
      </c>
      <c r="W125" s="194">
        <f>J125*IFERROR(VLOOKUP(A125,[1]Tørstofindhold!A$2:B$25,2,FALSE),0)</f>
        <v>0</v>
      </c>
      <c r="X125" s="195">
        <f t="shared" si="26"/>
        <v>33809.197251797756</v>
      </c>
      <c r="Y125" s="173">
        <f t="shared" si="21"/>
        <v>0</v>
      </c>
      <c r="Z125" s="104">
        <f t="shared" si="22"/>
        <v>1</v>
      </c>
    </row>
    <row r="126" spans="1:26" hidden="1" x14ac:dyDescent="0.25">
      <c r="A126" s="196" t="str">
        <f t="shared" si="33"/>
        <v>Mejeriprodukter</v>
      </c>
      <c r="B126" s="196" t="str">
        <f t="shared" si="34"/>
        <v/>
      </c>
      <c r="C126" s="196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6">
        <f t="shared" si="35"/>
        <v>2050</v>
      </c>
      <c r="E126" s="194" t="s">
        <v>24</v>
      </c>
      <c r="F126" s="197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187131.9829571539</v>
      </c>
      <c r="G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4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7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9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6">
        <f t="shared" si="23"/>
        <v>-303692.56589629594</v>
      </c>
      <c r="O126" s="197">
        <f t="shared" si="20"/>
        <v>0</v>
      </c>
      <c r="P126" s="207">
        <f t="shared" si="24"/>
        <v>0</v>
      </c>
      <c r="Q126" s="194">
        <f>IFERROR(VLOOKUP(A126,[1]Energiindhold!$A$2:$C$11,3,FALSE),IFERROR(VLOOKUP(A126,[1]Biogasudbytte!$A$2:$B$18,2,FALSE)*[1]Energiindhold!$C$10,0))*O126</f>
        <v>0</v>
      </c>
      <c r="R126" s="194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4">
        <f>IFERROR(VLOOKUP(A126,[1]Biogasudbytte!$A$2:$B$18,2,FALSE)*[1]Energiindhold!$C$10,0)*J126*IFERROR(VLOOKUP(A126,Biogasanlæg!$F$3:$G$8,2,FALSE),1)</f>
        <v>0</v>
      </c>
      <c r="T126" s="195">
        <f t="shared" si="25"/>
        <v>0</v>
      </c>
      <c r="U126" s="193">
        <f>O126*IFERROR(VLOOKUP(A126,[1]Tørstofindhold!A$2:B$25,2,FALSE),0)</f>
        <v>0</v>
      </c>
      <c r="V126" s="194">
        <f>IF(D126=År1,P126,SUM(O126,P126))*IFERROR(VLOOKUP(A126,[1]Tørstofindhold!A$2:B$25,2,FALSE),0)</f>
        <v>0</v>
      </c>
      <c r="W126" s="194">
        <f>J126*IFERROR(VLOOKUP(A126,[1]Tørstofindhold!A$2:B$25,2,FALSE),0)</f>
        <v>0</v>
      </c>
      <c r="X126" s="195">
        <f t="shared" si="26"/>
        <v>0</v>
      </c>
      <c r="Y126" s="173">
        <f t="shared" si="21"/>
        <v>1</v>
      </c>
      <c r="Z126" s="104">
        <f t="shared" si="22"/>
        <v>0</v>
      </c>
    </row>
    <row r="127" spans="1:26" hidden="1" x14ac:dyDescent="0.25">
      <c r="A127" s="196" t="str">
        <f t="shared" si="33"/>
        <v>Muslinger</v>
      </c>
      <c r="B127" s="196" t="str">
        <f t="shared" si="34"/>
        <v>Havbiomasse</v>
      </c>
      <c r="C127" s="196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6">
        <f t="shared" si="35"/>
        <v>2050</v>
      </c>
      <c r="E127" s="194" t="s">
        <v>24</v>
      </c>
      <c r="F127" s="197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4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7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9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6">
        <f t="shared" si="23"/>
        <v>216401.99818552966</v>
      </c>
      <c r="O127" s="197">
        <f t="shared" si="20"/>
        <v>216401.99818552966</v>
      </c>
      <c r="P127" s="207">
        <f t="shared" si="24"/>
        <v>0</v>
      </c>
      <c r="Q127" s="194">
        <f>IFERROR(VLOOKUP(A127,[1]Energiindhold!$A$2:$C$11,3,FALSE),IFERROR(VLOOKUP(A127,[1]Biogasudbytte!$A$2:$B$18,2,FALSE)*[1]Energiindhold!$C$10,0))*O127</f>
        <v>0.19422079337151291</v>
      </c>
      <c r="R127" s="194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4">
        <f>IFERROR(VLOOKUP(A127,[1]Biogasudbytte!$A$2:$B$18,2,FALSE)*[1]Energiindhold!$C$10,0)*J127*IFERROR(VLOOKUP(A127,Biogasanlæg!$F$3:$G$8,2,FALSE),1)</f>
        <v>0</v>
      </c>
      <c r="T127" s="195">
        <f t="shared" si="25"/>
        <v>0.19422079337151291</v>
      </c>
      <c r="U127" s="193">
        <f>O127*IFERROR(VLOOKUP(A127,[1]Tørstofindhold!A$2:B$25,2,FALSE),0)</f>
        <v>32460.29972782945</v>
      </c>
      <c r="V127" s="194">
        <f>IF(D127=År1,P127,SUM(O127,P127))*IFERROR(VLOOKUP(A127,[1]Tørstofindhold!A$2:B$25,2,FALSE),0)</f>
        <v>32460.29972782945</v>
      </c>
      <c r="W127" s="194">
        <f>J127*IFERROR(VLOOKUP(A127,[1]Tørstofindhold!A$2:B$25,2,FALSE),0)</f>
        <v>0</v>
      </c>
      <c r="X127" s="195">
        <f t="shared" si="26"/>
        <v>32460.29972782945</v>
      </c>
      <c r="Y127" s="173">
        <f t="shared" si="21"/>
        <v>0</v>
      </c>
      <c r="Z127" s="104">
        <f t="shared" si="22"/>
        <v>1</v>
      </c>
    </row>
    <row r="128" spans="1:26" hidden="1" x14ac:dyDescent="0.25">
      <c r="A128" s="196" t="str">
        <f t="shared" si="33"/>
        <v>Oksekød</v>
      </c>
      <c r="B128" s="196" t="str">
        <f t="shared" si="34"/>
        <v/>
      </c>
      <c r="C128" s="196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6">
        <f t="shared" si="35"/>
        <v>2050</v>
      </c>
      <c r="E128" s="194" t="s">
        <v>24</v>
      </c>
      <c r="F128" s="197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3307.5145409244233</v>
      </c>
      <c r="G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4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0</v>
      </c>
      <c r="J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7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9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6">
        <f t="shared" si="23"/>
        <v>3307.5145409244233</v>
      </c>
      <c r="O128" s="197">
        <f t="shared" si="20"/>
        <v>0</v>
      </c>
      <c r="P128" s="207">
        <f t="shared" si="24"/>
        <v>0</v>
      </c>
      <c r="Q128" s="194">
        <f>IFERROR(VLOOKUP(A128,[1]Energiindhold!$A$2:$C$11,3,FALSE),IFERROR(VLOOKUP(A128,[1]Biogasudbytte!$A$2:$B$18,2,FALSE)*[1]Energiindhold!$C$10,0))*O128</f>
        <v>0</v>
      </c>
      <c r="R128" s="194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4">
        <f>IFERROR(VLOOKUP(A128,[1]Biogasudbytte!$A$2:$B$18,2,FALSE)*[1]Energiindhold!$C$10,0)*J128*IFERROR(VLOOKUP(A128,Biogasanlæg!$F$3:$G$8,2,FALSE),1)</f>
        <v>0</v>
      </c>
      <c r="T128" s="195">
        <f t="shared" si="25"/>
        <v>0</v>
      </c>
      <c r="U128" s="193">
        <f>O128*IFERROR(VLOOKUP(A128,[1]Tørstofindhold!A$2:B$25,2,FALSE),0)</f>
        <v>0</v>
      </c>
      <c r="V128" s="194">
        <f>IF(D128=År1,P128,SUM(O128,P128))*IFERROR(VLOOKUP(A128,[1]Tørstofindhold!A$2:B$25,2,FALSE),0)</f>
        <v>0</v>
      </c>
      <c r="W128" s="194">
        <f>J128*IFERROR(VLOOKUP(A128,[1]Tørstofindhold!A$2:B$25,2,FALSE),0)</f>
        <v>0</v>
      </c>
      <c r="X128" s="195">
        <f t="shared" si="26"/>
        <v>0</v>
      </c>
      <c r="Y128" s="173">
        <f t="shared" si="21"/>
        <v>0</v>
      </c>
      <c r="Z128" s="104">
        <f t="shared" si="22"/>
        <v>1</v>
      </c>
    </row>
    <row r="129" spans="1:26" hidden="1" x14ac:dyDescent="0.25">
      <c r="A129" s="196" t="str">
        <f t="shared" si="33"/>
        <v>Øvrige</v>
      </c>
      <c r="B129" s="196" t="str">
        <f t="shared" si="34"/>
        <v/>
      </c>
      <c r="C129" s="196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6">
        <f t="shared" si="35"/>
        <v>2050</v>
      </c>
      <c r="E129" s="194" t="s">
        <v>24</v>
      </c>
      <c r="F129" s="197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231594.63465303747</v>
      </c>
      <c r="G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4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7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9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6">
        <f t="shared" si="23"/>
        <v>231594.63465303747</v>
      </c>
      <c r="O129" s="197">
        <f t="shared" si="20"/>
        <v>0</v>
      </c>
      <c r="P129" s="207">
        <f t="shared" si="24"/>
        <v>0</v>
      </c>
      <c r="Q129" s="194">
        <f>IFERROR(VLOOKUP(A129,[1]Energiindhold!$A$2:$C$11,3,FALSE),IFERROR(VLOOKUP(A129,[1]Biogasudbytte!$A$2:$B$18,2,FALSE)*[1]Energiindhold!$C$10,0))*O129</f>
        <v>0</v>
      </c>
      <c r="R129" s="194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4">
        <f>IFERROR(VLOOKUP(A129,[1]Biogasudbytte!$A$2:$B$18,2,FALSE)*[1]Energiindhold!$C$10,0)*J129*IFERROR(VLOOKUP(A129,Biogasanlæg!$F$3:$G$8,2,FALSE),1)</f>
        <v>0</v>
      </c>
      <c r="T129" s="195">
        <f t="shared" si="25"/>
        <v>0</v>
      </c>
      <c r="U129" s="193">
        <f>O129*IFERROR(VLOOKUP(A129,[1]Tørstofindhold!A$2:B$25,2,FALSE),0)</f>
        <v>0</v>
      </c>
      <c r="V129" s="194">
        <f>IF(D129=År1,P129,SUM(O129,P129))*IFERROR(VLOOKUP(A129,[1]Tørstofindhold!A$2:B$25,2,FALSE),0)</f>
        <v>0</v>
      </c>
      <c r="W129" s="194">
        <f>J129*IFERROR(VLOOKUP(A129,[1]Tørstofindhold!A$2:B$25,2,FALSE),0)</f>
        <v>0</v>
      </c>
      <c r="X129" s="195">
        <f t="shared" si="26"/>
        <v>0</v>
      </c>
      <c r="Y129" s="173">
        <f t="shared" si="21"/>
        <v>0</v>
      </c>
      <c r="Z129" s="104">
        <f t="shared" si="22"/>
        <v>1</v>
      </c>
    </row>
    <row r="130" spans="1:26" hidden="1" x14ac:dyDescent="0.25">
      <c r="A130" s="196" t="str">
        <f t="shared" si="33"/>
        <v>Pil &amp; poppel</v>
      </c>
      <c r="B130" s="196" t="str">
        <f t="shared" si="34"/>
        <v>Vedmasse</v>
      </c>
      <c r="C130" s="196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6">
        <f t="shared" si="35"/>
        <v>2050</v>
      </c>
      <c r="E130" s="194" t="s">
        <v>24</v>
      </c>
      <c r="F130" s="197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19775.521846053056</v>
      </c>
      <c r="G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4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7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19775.521846053056</v>
      </c>
      <c r="M130" s="159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6">
        <f t="shared" si="23"/>
        <v>0</v>
      </c>
      <c r="O130" s="197">
        <f t="shared" si="20"/>
        <v>0</v>
      </c>
      <c r="P130" s="207">
        <f t="shared" si="24"/>
        <v>19775.521846053056</v>
      </c>
      <c r="Q130" s="194">
        <f>IFERROR(VLOOKUP(A130,[1]Energiindhold!$A$2:$C$11,3,FALSE),IFERROR(VLOOKUP(A130,[1]Biogasudbytte!$A$2:$B$18,2,FALSE)*[1]Energiindhold!$C$10,0))*O130</f>
        <v>0</v>
      </c>
      <c r="R130" s="194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0.36386960196737617</v>
      </c>
      <c r="S130" s="194">
        <f>IFERROR(VLOOKUP(A130,[1]Biogasudbytte!$A$2:$B$18,2,FALSE)*[1]Energiindhold!$C$10,0)*J130*IFERROR(VLOOKUP(A130,Biogasanlæg!$F$3:$G$8,2,FALSE),1)</f>
        <v>0</v>
      </c>
      <c r="T130" s="195">
        <f t="shared" si="25"/>
        <v>0.36386960196737617</v>
      </c>
      <c r="U130" s="193">
        <f>O130*IFERROR(VLOOKUP(A130,[1]Tørstofindhold!A$2:B$25,2,FALSE),0)</f>
        <v>0</v>
      </c>
      <c r="V130" s="194">
        <f>IF(D130=År1,P130,SUM(O130,P130))*IFERROR(VLOOKUP(A130,[1]Tørstofindhold!A$2:B$25,2,FALSE),0)</f>
        <v>8206.8415661120198</v>
      </c>
      <c r="W130" s="194">
        <f>J130*IFERROR(VLOOKUP(A130,[1]Tørstofindhold!A$2:B$25,2,FALSE),0)</f>
        <v>0</v>
      </c>
      <c r="X130" s="195">
        <f t="shared" si="26"/>
        <v>8206.8415661120198</v>
      </c>
      <c r="Y130" s="173">
        <f t="shared" si="21"/>
        <v>0</v>
      </c>
      <c r="Z130" s="104">
        <f t="shared" si="22"/>
        <v>0</v>
      </c>
    </row>
    <row r="131" spans="1:26" hidden="1" x14ac:dyDescent="0.25">
      <c r="A131" s="196" t="str">
        <f t="shared" ref="A131:A132" si="36">A83</f>
        <v>Pyrolysegas</v>
      </c>
      <c r="B131" s="196" t="str">
        <f t="shared" ref="B131:B132" si="37">IF(B83&lt;&gt;"",B83,"")</f>
        <v>Pyrolyseprodukter</v>
      </c>
      <c r="C131" s="196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6">
        <f t="shared" si="35"/>
        <v>2050</v>
      </c>
      <c r="E131" s="194" t="s">
        <v>24</v>
      </c>
      <c r="F131" s="197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4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7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9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6">
        <f t="shared" ref="N131:N132" si="38">F131-SUM(G131:M131)</f>
        <v>0</v>
      </c>
      <c r="O131" s="197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7">
        <f t="shared" ref="P131:P132" si="40">SUM(J131,L131)</f>
        <v>0</v>
      </c>
      <c r="Q131" s="194">
        <f>IFERROR(VLOOKUP(A131,[1]Energiindhold!$A$2:$C$11,3,FALSE),IFERROR(VLOOKUP(A131,[1]Biogasudbytte!$A$2:$B$18,2,FALSE)*[1]Energiindhold!$C$10,0))*O131</f>
        <v>0</v>
      </c>
      <c r="R131" s="194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4">
        <f>IFERROR(VLOOKUP(A131,[1]Biogasudbytte!$A$2:$B$18,2,FALSE)*[1]Energiindhold!$C$10,0)*J131*IFERROR(VLOOKUP(A131,Biogasanlæg!$F$3:$G$8,2,FALSE),1)</f>
        <v>0</v>
      </c>
      <c r="T131" s="195">
        <f t="shared" ref="T131:T132" si="41">R131-S131</f>
        <v>0</v>
      </c>
      <c r="U131" s="193">
        <f>O131*IFERROR(VLOOKUP(A131,[1]Tørstofindhold!A$2:B$25,2,FALSE),0)</f>
        <v>0</v>
      </c>
      <c r="V131" s="194">
        <f>IF(D131=År1,P131,SUM(O131,P131))*IFERROR(VLOOKUP(A131,[1]Tørstofindhold!A$2:B$25,2,FALSE),0)</f>
        <v>0</v>
      </c>
      <c r="W131" s="194">
        <f>J131*IFERROR(VLOOKUP(A131,[1]Tørstofindhold!A$2:B$25,2,FALSE),0)</f>
        <v>0</v>
      </c>
      <c r="X131" s="195">
        <f t="shared" ref="X131:X132" si="42">V131-W131</f>
        <v>0</v>
      </c>
      <c r="Y131" s="173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hidden="1" x14ac:dyDescent="0.25">
      <c r="A132" s="196" t="str">
        <f t="shared" si="36"/>
        <v>Pyrolyseolie</v>
      </c>
      <c r="B132" s="196" t="str">
        <f t="shared" si="37"/>
        <v>Pyrolyseprodukter</v>
      </c>
      <c r="C132" s="196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6">
        <f t="shared" si="35"/>
        <v>2050</v>
      </c>
      <c r="E132" s="194" t="s">
        <v>24</v>
      </c>
      <c r="F132" s="197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4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7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9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6">
        <f t="shared" si="38"/>
        <v>0</v>
      </c>
      <c r="O132" s="197">
        <f t="shared" si="39"/>
        <v>0</v>
      </c>
      <c r="P132" s="207">
        <f t="shared" si="40"/>
        <v>0</v>
      </c>
      <c r="Q132" s="194">
        <f>IFERROR(VLOOKUP(A132,[1]Energiindhold!$A$2:$C$11,3,FALSE),IFERROR(VLOOKUP(A132,[1]Biogasudbytte!$A$2:$B$18,2,FALSE)*[1]Energiindhold!$C$10,0))*O132</f>
        <v>0</v>
      </c>
      <c r="R132" s="194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4">
        <f>IFERROR(VLOOKUP(A132,[1]Biogasudbytte!$A$2:$B$18,2,FALSE)*[1]Energiindhold!$C$10,0)*J132*IFERROR(VLOOKUP(A132,Biogasanlæg!$F$3:$G$8,2,FALSE),1)</f>
        <v>0</v>
      </c>
      <c r="T132" s="195">
        <f t="shared" si="41"/>
        <v>0</v>
      </c>
      <c r="U132" s="193">
        <f>O132*IFERROR(VLOOKUP(A132,[1]Tørstofindhold!A$2:B$25,2,FALSE),0)</f>
        <v>0</v>
      </c>
      <c r="V132" s="194">
        <f>IF(D132=År1,P132,SUM(O132,P132))*IFERROR(VLOOKUP(A132,[1]Tørstofindhold!A$2:B$25,2,FALSE),0)</f>
        <v>0</v>
      </c>
      <c r="W132" s="194">
        <f>J132*IFERROR(VLOOKUP(A132,[1]Tørstofindhold!A$2:B$25,2,FALSE),0)</f>
        <v>0</v>
      </c>
      <c r="X132" s="195">
        <f t="shared" si="42"/>
        <v>0</v>
      </c>
      <c r="Y132" s="173">
        <f t="shared" si="43"/>
        <v>0</v>
      </c>
      <c r="Z132" s="104">
        <f t="shared" si="44"/>
        <v>0</v>
      </c>
    </row>
    <row r="133" spans="1:26" hidden="1" x14ac:dyDescent="0.25">
      <c r="A133" s="196" t="str">
        <f t="shared" ref="A133:A146" si="45">A85</f>
        <v>Råmælk</v>
      </c>
      <c r="B133" s="196" t="str">
        <f t="shared" ref="B133:B146" si="46">IF(B85&lt;&gt;"",B85,"")</f>
        <v/>
      </c>
      <c r="C133" s="196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6">
        <f t="shared" si="35"/>
        <v>2050</v>
      </c>
      <c r="E133" s="194" t="s">
        <v>24</v>
      </c>
      <c r="F133" s="197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310893.7909098948</v>
      </c>
      <c r="G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4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7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9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6">
        <f t="shared" si="23"/>
        <v>310893.7909098948</v>
      </c>
      <c r="O133" s="197">
        <f t="shared" si="39"/>
        <v>0</v>
      </c>
      <c r="P133" s="207">
        <f t="shared" si="24"/>
        <v>0</v>
      </c>
      <c r="Q133" s="194">
        <f>IFERROR(VLOOKUP(A133,[1]Energiindhold!$A$2:$C$11,3,FALSE),IFERROR(VLOOKUP(A133,[1]Biogasudbytte!$A$2:$B$18,2,FALSE)*[1]Energiindhold!$C$10,0))*O133</f>
        <v>0</v>
      </c>
      <c r="R133" s="194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4">
        <f>IFERROR(VLOOKUP(A133,[1]Biogasudbytte!$A$2:$B$18,2,FALSE)*[1]Energiindhold!$C$10,0)*J133*IFERROR(VLOOKUP(A133,Biogasanlæg!$F$3:$G$8,2,FALSE),1)</f>
        <v>0</v>
      </c>
      <c r="T133" s="195">
        <f t="shared" si="25"/>
        <v>0</v>
      </c>
      <c r="U133" s="193">
        <f>O133*IFERROR(VLOOKUP(A133,[1]Tørstofindhold!A$2:B$25,2,FALSE),0)</f>
        <v>0</v>
      </c>
      <c r="V133" s="194">
        <f>IF(D133=År1,P133,SUM(O133,P133))*IFERROR(VLOOKUP(A133,[1]Tørstofindhold!A$2:B$25,2,FALSE),0)</f>
        <v>0</v>
      </c>
      <c r="W133" s="194">
        <f>J133*IFERROR(VLOOKUP(A133,[1]Tørstofindhold!A$2:B$25,2,FALSE),0)</f>
        <v>0</v>
      </c>
      <c r="X133" s="195">
        <f t="shared" si="26"/>
        <v>0</v>
      </c>
      <c r="Y133" s="173">
        <f t="shared" si="43"/>
        <v>0</v>
      </c>
      <c r="Z133" s="104">
        <f t="shared" si="44"/>
        <v>1</v>
      </c>
    </row>
    <row r="134" spans="1:26" hidden="1" x14ac:dyDescent="0.25">
      <c r="A134" s="196" t="str">
        <f t="shared" si="45"/>
        <v>Raps</v>
      </c>
      <c r="B134" s="196" t="str">
        <f t="shared" si="46"/>
        <v/>
      </c>
      <c r="C134" s="196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6">
        <f t="shared" si="35"/>
        <v>2050</v>
      </c>
      <c r="E134" s="194" t="s">
        <v>24</v>
      </c>
      <c r="F134" s="197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69105.833019649028</v>
      </c>
      <c r="G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4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7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9">
        <f>SUMIFS('Forbrug af biomasse'!E:E,'Forbrug af biomasse'!C:C,'Resultat-Produktion &amp; forbrug'!$A134,'Forbrug af biomasse'!D:D,'Resultat-Produktion &amp; forbrug'!$D134,'Forbrug af biomasse'!G:G,1,'Forbrug af biomasse'!B:B,$E134)</f>
        <v>69105.833019649028</v>
      </c>
      <c r="N134" s="206">
        <f t="shared" si="23"/>
        <v>0</v>
      </c>
      <c r="O134" s="197">
        <f t="shared" si="39"/>
        <v>0</v>
      </c>
      <c r="P134" s="207">
        <f t="shared" si="24"/>
        <v>0</v>
      </c>
      <c r="Q134" s="194">
        <f>IFERROR(VLOOKUP(A134,[1]Energiindhold!$A$2:$C$11,3,FALSE),IFERROR(VLOOKUP(A134,[1]Biogasudbytte!$A$2:$B$18,2,FALSE)*[1]Energiindhold!$C$10,0))*O134</f>
        <v>0</v>
      </c>
      <c r="R134" s="194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4">
        <f>IFERROR(VLOOKUP(A134,[1]Biogasudbytte!$A$2:$B$18,2,FALSE)*[1]Energiindhold!$C$10,0)*J134*IFERROR(VLOOKUP(A134,Biogasanlæg!$F$3:$G$8,2,FALSE),1)</f>
        <v>0</v>
      </c>
      <c r="T134" s="195">
        <f t="shared" si="25"/>
        <v>0</v>
      </c>
      <c r="U134" s="193">
        <f>O134*IFERROR(VLOOKUP(A134,[1]Tørstofindhold!A$2:B$25,2,FALSE),0)</f>
        <v>0</v>
      </c>
      <c r="V134" s="194">
        <f>IF(D134=År1,P134,SUM(O134,P134))*IFERROR(VLOOKUP(A134,[1]Tørstofindhold!A$2:B$25,2,FALSE),0)</f>
        <v>0</v>
      </c>
      <c r="W134" s="194">
        <f>J134*IFERROR(VLOOKUP(A134,[1]Tørstofindhold!A$2:B$25,2,FALSE),0)</f>
        <v>0</v>
      </c>
      <c r="X134" s="195">
        <f t="shared" si="26"/>
        <v>0</v>
      </c>
      <c r="Y134" s="173">
        <f t="shared" si="43"/>
        <v>0</v>
      </c>
      <c r="Z134" s="104">
        <f t="shared" si="44"/>
        <v>0</v>
      </c>
    </row>
    <row r="135" spans="1:26" hidden="1" x14ac:dyDescent="0.25">
      <c r="A135" s="196" t="str">
        <f t="shared" si="45"/>
        <v>Rapskage</v>
      </c>
      <c r="B135" s="196" t="str">
        <f t="shared" si="46"/>
        <v/>
      </c>
      <c r="C135" s="196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6">
        <f t="shared" si="35"/>
        <v>2050</v>
      </c>
      <c r="E135" s="194" t="s">
        <v>24</v>
      </c>
      <c r="F135" s="197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34552.916509824514</v>
      </c>
      <c r="G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21409.910609126229</v>
      </c>
      <c r="H135" s="194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7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9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6">
        <f t="shared" si="23"/>
        <v>13143.005900698285</v>
      </c>
      <c r="O135" s="197">
        <f t="shared" si="39"/>
        <v>0</v>
      </c>
      <c r="P135" s="207">
        <f t="shared" si="24"/>
        <v>0</v>
      </c>
      <c r="Q135" s="194">
        <f>IFERROR(VLOOKUP(A135,[1]Energiindhold!$A$2:$C$11,3,FALSE),IFERROR(VLOOKUP(A135,[1]Biogasudbytte!$A$2:$B$18,2,FALSE)*[1]Energiindhold!$C$10,0))*O135</f>
        <v>0</v>
      </c>
      <c r="R135" s="194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4">
        <f>IFERROR(VLOOKUP(A135,[1]Biogasudbytte!$A$2:$B$18,2,FALSE)*[1]Energiindhold!$C$10,0)*J135*IFERROR(VLOOKUP(A135,Biogasanlæg!$F$3:$G$8,2,FALSE),1)</f>
        <v>0</v>
      </c>
      <c r="T135" s="195">
        <f t="shared" si="25"/>
        <v>0</v>
      </c>
      <c r="U135" s="193">
        <f>O135*IFERROR(VLOOKUP(A135,[1]Tørstofindhold!A$2:B$25,2,FALSE),0)</f>
        <v>0</v>
      </c>
      <c r="V135" s="194">
        <f>IF(D135=År1,P135,SUM(O135,P135))*IFERROR(VLOOKUP(A135,[1]Tørstofindhold!A$2:B$25,2,FALSE),0)</f>
        <v>0</v>
      </c>
      <c r="W135" s="194">
        <f>J135*IFERROR(VLOOKUP(A135,[1]Tørstofindhold!A$2:B$25,2,FALSE),0)</f>
        <v>0</v>
      </c>
      <c r="X135" s="195">
        <f t="shared" si="26"/>
        <v>0</v>
      </c>
      <c r="Y135" s="173">
        <f t="shared" si="43"/>
        <v>0</v>
      </c>
      <c r="Z135" s="104">
        <f t="shared" si="44"/>
        <v>1</v>
      </c>
    </row>
    <row r="136" spans="1:26" hidden="1" x14ac:dyDescent="0.25">
      <c r="A136" s="196" t="str">
        <f t="shared" si="45"/>
        <v>Rapsolie</v>
      </c>
      <c r="B136" s="196" t="str">
        <f t="shared" si="46"/>
        <v>Rapsolie</v>
      </c>
      <c r="C136" s="196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6">
        <f t="shared" si="35"/>
        <v>2050</v>
      </c>
      <c r="E136" s="194" t="s">
        <v>24</v>
      </c>
      <c r="F136" s="197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22113.866566287688</v>
      </c>
      <c r="G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4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7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22113.866566287688</v>
      </c>
      <c r="M136" s="159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6">
        <f t="shared" si="23"/>
        <v>0</v>
      </c>
      <c r="O136" s="197">
        <f t="shared" si="39"/>
        <v>0</v>
      </c>
      <c r="P136" s="207">
        <f t="shared" si="24"/>
        <v>22113.866566287688</v>
      </c>
      <c r="Q136" s="194">
        <f>IFERROR(VLOOKUP(A136,[1]Energiindhold!$A$2:$C$11,3,FALSE),IFERROR(VLOOKUP(A136,[1]Biogasudbytte!$A$2:$B$18,2,FALSE)*[1]Energiindhold!$C$10,0))*O136</f>
        <v>0</v>
      </c>
      <c r="R136" s="194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0.77398532982006907</v>
      </c>
      <c r="S136" s="194">
        <f>IFERROR(VLOOKUP(A136,[1]Biogasudbytte!$A$2:$B$18,2,FALSE)*[1]Energiindhold!$C$10,0)*J136*IFERROR(VLOOKUP(A136,Biogasanlæg!$F$3:$G$8,2,FALSE),1)</f>
        <v>0</v>
      </c>
      <c r="T136" s="195">
        <f t="shared" si="25"/>
        <v>0.77398532982006907</v>
      </c>
      <c r="U136" s="193">
        <f>O136*IFERROR(VLOOKUP(A136,[1]Tørstofindhold!A$2:B$25,2,FALSE),0)</f>
        <v>0</v>
      </c>
      <c r="V136" s="194">
        <f>IF(D136=År1,P136,SUM(O136,P136))*IFERROR(VLOOKUP(A136,[1]Tørstofindhold!A$2:B$25,2,FALSE),0)</f>
        <v>20123.618575321798</v>
      </c>
      <c r="W136" s="194">
        <f>J136*IFERROR(VLOOKUP(A136,[1]Tørstofindhold!A$2:B$25,2,FALSE),0)</f>
        <v>0</v>
      </c>
      <c r="X136" s="195">
        <f t="shared" si="26"/>
        <v>20123.618575321798</v>
      </c>
      <c r="Y136" s="173">
        <f t="shared" si="43"/>
        <v>0</v>
      </c>
      <c r="Z136" s="104">
        <f t="shared" si="44"/>
        <v>0</v>
      </c>
    </row>
    <row r="137" spans="1:26" hidden="1" x14ac:dyDescent="0.25">
      <c r="A137" s="196" t="str">
        <f t="shared" si="45"/>
        <v>Roer</v>
      </c>
      <c r="B137" s="196" t="str">
        <f t="shared" si="46"/>
        <v>Græs og urter</v>
      </c>
      <c r="C137" s="196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6">
        <f t="shared" si="35"/>
        <v>2050</v>
      </c>
      <c r="E137" s="194" t="s">
        <v>24</v>
      </c>
      <c r="F137" s="197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56749.419521612363</v>
      </c>
      <c r="G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84116.7617655629</v>
      </c>
      <c r="H137" s="194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0</v>
      </c>
      <c r="K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7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9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6">
        <f t="shared" si="23"/>
        <v>-27367.342243950538</v>
      </c>
      <c r="O137" s="197">
        <f t="shared" si="39"/>
        <v>0</v>
      </c>
      <c r="P137" s="207">
        <f t="shared" si="24"/>
        <v>0</v>
      </c>
      <c r="Q137" s="194">
        <f>IFERROR(VLOOKUP(A137,[1]Energiindhold!$A$2:$C$11,3,FALSE),IFERROR(VLOOKUP(A137,[1]Biogasudbytte!$A$2:$B$18,2,FALSE)*[1]Energiindhold!$C$10,0))*O137</f>
        <v>0</v>
      </c>
      <c r="R137" s="194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0</v>
      </c>
      <c r="S137" s="194">
        <f>IFERROR(VLOOKUP(A137,[1]Biogasudbytte!$A$2:$B$18,2,FALSE)*[1]Energiindhold!$C$10,0)*J137*IFERROR(VLOOKUP(A137,Biogasanlæg!$F$3:$G$8,2,FALSE),1)</f>
        <v>0</v>
      </c>
      <c r="T137" s="195">
        <f t="shared" si="25"/>
        <v>0</v>
      </c>
      <c r="U137" s="193">
        <f>O137*IFERROR(VLOOKUP(A137,[1]Tørstofindhold!A$2:B$25,2,FALSE),0)</f>
        <v>0</v>
      </c>
      <c r="V137" s="194">
        <f>IF(D137=År1,P137,SUM(O137,P137))*IFERROR(VLOOKUP(A137,[1]Tørstofindhold!A$2:B$25,2,FALSE),0)</f>
        <v>0</v>
      </c>
      <c r="W137" s="194">
        <f>J137*IFERROR(VLOOKUP(A137,[1]Tørstofindhold!A$2:B$25,2,FALSE),0)</f>
        <v>0</v>
      </c>
      <c r="X137" s="195">
        <f t="shared" si="26"/>
        <v>0</v>
      </c>
      <c r="Y137" s="173">
        <f t="shared" si="43"/>
        <v>0</v>
      </c>
      <c r="Z137" s="104">
        <f t="shared" si="44"/>
        <v>1</v>
      </c>
    </row>
    <row r="138" spans="1:26" hidden="1" x14ac:dyDescent="0.25">
      <c r="A138" s="196" t="str">
        <f t="shared" si="45"/>
        <v>Slagteriaffald til andet</v>
      </c>
      <c r="B138" s="196" t="str">
        <f t="shared" si="46"/>
        <v/>
      </c>
      <c r="C138" s="196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6">
        <f t="shared" si="35"/>
        <v>2050</v>
      </c>
      <c r="E138" s="194" t="s">
        <v>24</v>
      </c>
      <c r="F138" s="197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7097.640580688706</v>
      </c>
      <c r="G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4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7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9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6">
        <f t="shared" si="23"/>
        <v>7097.640580688706</v>
      </c>
      <c r="O138" s="197">
        <f t="shared" si="39"/>
        <v>0</v>
      </c>
      <c r="P138" s="207">
        <f t="shared" si="24"/>
        <v>0</v>
      </c>
      <c r="Q138" s="194">
        <f>IFERROR(VLOOKUP(A138,[1]Energiindhold!$A$2:$C$11,3,FALSE),IFERROR(VLOOKUP(A138,[1]Biogasudbytte!$A$2:$B$18,2,FALSE)*[1]Energiindhold!$C$10,0))*O138</f>
        <v>0</v>
      </c>
      <c r="R138" s="194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4">
        <f>IFERROR(VLOOKUP(A138,[1]Biogasudbytte!$A$2:$B$18,2,FALSE)*[1]Energiindhold!$C$10,0)*J138*IFERROR(VLOOKUP(A138,Biogasanlæg!$F$3:$G$8,2,FALSE),1)</f>
        <v>0</v>
      </c>
      <c r="T138" s="195">
        <f t="shared" si="25"/>
        <v>0</v>
      </c>
      <c r="U138" s="193">
        <f>O138*IFERROR(VLOOKUP(A138,[1]Tørstofindhold!A$2:B$25,2,FALSE),0)</f>
        <v>0</v>
      </c>
      <c r="V138" s="194">
        <f>IF(D138=År1,P138,SUM(O138,P138))*IFERROR(VLOOKUP(A138,[1]Tørstofindhold!A$2:B$25,2,FALSE),0)</f>
        <v>0</v>
      </c>
      <c r="W138" s="194">
        <f>J138*IFERROR(VLOOKUP(A138,[1]Tørstofindhold!A$2:B$25,2,FALSE),0)</f>
        <v>0</v>
      </c>
      <c r="X138" s="195">
        <f t="shared" si="26"/>
        <v>0</v>
      </c>
      <c r="Y138" s="173">
        <f t="shared" si="43"/>
        <v>0</v>
      </c>
      <c r="Z138" s="104">
        <f t="shared" si="44"/>
        <v>1</v>
      </c>
    </row>
    <row r="139" spans="1:26" hidden="1" x14ac:dyDescent="0.25">
      <c r="A139" s="196" t="str">
        <f t="shared" si="45"/>
        <v>Slagteriaffald til foder</v>
      </c>
      <c r="B139" s="196" t="str">
        <f t="shared" si="46"/>
        <v/>
      </c>
      <c r="C139" s="196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6">
        <f t="shared" si="35"/>
        <v>2050</v>
      </c>
      <c r="E139" s="194" t="s">
        <v>24</v>
      </c>
      <c r="F139" s="197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5199.2984687245571</v>
      </c>
      <c r="G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3941.5735012617333</v>
      </c>
      <c r="H139" s="194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7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9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6">
        <f t="shared" si="23"/>
        <v>1257.7249674628238</v>
      </c>
      <c r="O139" s="197">
        <f t="shared" si="39"/>
        <v>0</v>
      </c>
      <c r="P139" s="207">
        <f t="shared" si="24"/>
        <v>0</v>
      </c>
      <c r="Q139" s="194">
        <f>IFERROR(VLOOKUP(A139,[1]Energiindhold!$A$2:$C$11,3,FALSE),IFERROR(VLOOKUP(A139,[1]Biogasudbytte!$A$2:$B$18,2,FALSE)*[1]Energiindhold!$C$10,0))*O139</f>
        <v>0</v>
      </c>
      <c r="R139" s="194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4">
        <f>IFERROR(VLOOKUP(A139,[1]Biogasudbytte!$A$2:$B$18,2,FALSE)*[1]Energiindhold!$C$10,0)*J139*IFERROR(VLOOKUP(A139,Biogasanlæg!$F$3:$G$8,2,FALSE),1)</f>
        <v>0</v>
      </c>
      <c r="T139" s="195">
        <f t="shared" si="25"/>
        <v>0</v>
      </c>
      <c r="U139" s="193">
        <f>O139*IFERROR(VLOOKUP(A139,[1]Tørstofindhold!A$2:B$25,2,FALSE),0)</f>
        <v>0</v>
      </c>
      <c r="V139" s="194">
        <f>IF(D139=År1,P139,SUM(O139,P139))*IFERROR(VLOOKUP(A139,[1]Tørstofindhold!A$2:B$25,2,FALSE),0)</f>
        <v>0</v>
      </c>
      <c r="W139" s="194">
        <f>J139*IFERROR(VLOOKUP(A139,[1]Tørstofindhold!A$2:B$25,2,FALSE),0)</f>
        <v>0</v>
      </c>
      <c r="X139" s="195">
        <f t="shared" si="26"/>
        <v>0</v>
      </c>
      <c r="Y139" s="173">
        <f t="shared" si="43"/>
        <v>0</v>
      </c>
      <c r="Z139" s="104">
        <f t="shared" si="44"/>
        <v>1</v>
      </c>
    </row>
    <row r="140" spans="1:26" hidden="1" x14ac:dyDescent="0.25">
      <c r="A140" s="196" t="str">
        <f t="shared" si="45"/>
        <v>Spildevandsslam</v>
      </c>
      <c r="B140" s="196" t="str">
        <f t="shared" si="46"/>
        <v>Bionedbrydeligt affald</v>
      </c>
      <c r="C140" s="196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6">
        <f t="shared" si="35"/>
        <v>2050</v>
      </c>
      <c r="E140" s="194" t="s">
        <v>24</v>
      </c>
      <c r="F140" s="197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4009618.6163458391</v>
      </c>
      <c r="G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4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1520643.2255533286</v>
      </c>
      <c r="K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7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9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6">
        <f t="shared" si="23"/>
        <v>2488975.3907925105</v>
      </c>
      <c r="O140" s="197">
        <f t="shared" si="39"/>
        <v>2488975.3907925105</v>
      </c>
      <c r="P140" s="207">
        <f t="shared" si="24"/>
        <v>1520643.2255533286</v>
      </c>
      <c r="Q140" s="194">
        <f>IFERROR(VLOOKUP(A140,[1]Energiindhold!$A$2:$C$11,3,FALSE),IFERROR(VLOOKUP(A140,[1]Biogasudbytte!$A$2:$B$18,2,FALSE)*[1]Energiindhold!$C$10,0))*O140</f>
        <v>1.2420236097593709</v>
      </c>
      <c r="R140" s="194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2.0008397857427376</v>
      </c>
      <c r="S140" s="194">
        <f>IFERROR(VLOOKUP(A140,[1]Biogasudbytte!$A$2:$B$18,2,FALSE)*[1]Energiindhold!$C$10,0)*J140*IFERROR(VLOOKUP(A140,Biogasanlæg!$F$3:$G$8,2,FALSE),1)</f>
        <v>0.75881617598336659</v>
      </c>
      <c r="T140" s="195">
        <f t="shared" si="25"/>
        <v>1.2420236097593711</v>
      </c>
      <c r="U140" s="193">
        <f>O140*IFERROR(VLOOKUP(A140,[1]Tørstofindhold!A$2:B$25,2,FALSE),0)</f>
        <v>149338.52344755063</v>
      </c>
      <c r="V140" s="194">
        <f>IF(D140=År1,P140,SUM(O140,P140))*IFERROR(VLOOKUP(A140,[1]Tørstofindhold!A$2:B$25,2,FALSE),0)</f>
        <v>240577.11698075035</v>
      </c>
      <c r="W140" s="194">
        <f>J140*IFERROR(VLOOKUP(A140,[1]Tørstofindhold!A$2:B$25,2,FALSE),0)</f>
        <v>91238.593533199717</v>
      </c>
      <c r="X140" s="195">
        <f t="shared" si="26"/>
        <v>149338.52344755063</v>
      </c>
      <c r="Y140" s="173">
        <f t="shared" si="43"/>
        <v>0</v>
      </c>
      <c r="Z140" s="104">
        <f t="shared" si="44"/>
        <v>1</v>
      </c>
    </row>
    <row r="141" spans="1:26" hidden="1" x14ac:dyDescent="0.25">
      <c r="A141" s="196" t="str">
        <f t="shared" si="45"/>
        <v>Svinegylle</v>
      </c>
      <c r="B141" s="196" t="str">
        <f t="shared" si="46"/>
        <v>Husdyrgødning</v>
      </c>
      <c r="C141" s="196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6">
        <f t="shared" si="35"/>
        <v>2050</v>
      </c>
      <c r="E141" s="194" t="s">
        <v>24</v>
      </c>
      <c r="F141" s="197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117987.52213609075</v>
      </c>
      <c r="G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4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62533.3867321281</v>
      </c>
      <c r="K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55454.135403962639</v>
      </c>
      <c r="L141" s="197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9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6">
        <f t="shared" si="23"/>
        <v>0</v>
      </c>
      <c r="O141" s="197">
        <f t="shared" si="39"/>
        <v>0</v>
      </c>
      <c r="P141" s="207">
        <f t="shared" si="24"/>
        <v>62533.3867321281</v>
      </c>
      <c r="Q141" s="194">
        <f>IFERROR(VLOOKUP(A141,[1]Energiindhold!$A$2:$C$11,3,FALSE),IFERROR(VLOOKUP(A141,[1]Biogasudbytte!$A$2:$B$18,2,FALSE)*[1]Energiindhold!$C$10,0))*O141</f>
        <v>0</v>
      </c>
      <c r="R141" s="194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2.693938300420079E-2</v>
      </c>
      <c r="S141" s="194">
        <f>IFERROR(VLOOKUP(A141,[1]Biogasudbytte!$A$2:$B$18,2,FALSE)*[1]Energiindhold!$C$10,0)*J141*IFERROR(VLOOKUP(A141,Biogasanlæg!$F$3:$G$8,2,FALSE),1)</f>
        <v>2.693938300420079E-2</v>
      </c>
      <c r="T141" s="195">
        <f t="shared" si="25"/>
        <v>0</v>
      </c>
      <c r="U141" s="193">
        <f>O141*IFERROR(VLOOKUP(A141,[1]Tørstofindhold!A$2:B$25,2,FALSE),0)</f>
        <v>0</v>
      </c>
      <c r="V141" s="194">
        <f>IF(D141=År1,P141,SUM(O141,P141))*IFERROR(VLOOKUP(A141,[1]Tørstofindhold!A$2:B$25,2,FALSE),0)</f>
        <v>3126.6693366064051</v>
      </c>
      <c r="W141" s="194">
        <f>J141*IFERROR(VLOOKUP(A141,[1]Tørstofindhold!A$2:B$25,2,FALSE),0)</f>
        <v>3126.6693366064051</v>
      </c>
      <c r="X141" s="195">
        <f t="shared" si="26"/>
        <v>0</v>
      </c>
      <c r="Y141" s="173">
        <f t="shared" si="43"/>
        <v>0</v>
      </c>
      <c r="Z141" s="104">
        <f t="shared" si="44"/>
        <v>0</v>
      </c>
    </row>
    <row r="142" spans="1:26" hidden="1" x14ac:dyDescent="0.25">
      <c r="A142" s="196" t="str">
        <f t="shared" si="45"/>
        <v>Svinekød</v>
      </c>
      <c r="B142" s="196" t="str">
        <f t="shared" si="46"/>
        <v/>
      </c>
      <c r="C142" s="196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6">
        <f t="shared" si="35"/>
        <v>2050</v>
      </c>
      <c r="E142" s="194" t="s">
        <v>24</v>
      </c>
      <c r="F142" s="197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55924.401260733604</v>
      </c>
      <c r="G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4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0</v>
      </c>
      <c r="J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7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9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6">
        <f t="shared" si="23"/>
        <v>55924.401260733604</v>
      </c>
      <c r="O142" s="197">
        <f t="shared" si="39"/>
        <v>0</v>
      </c>
      <c r="P142" s="207">
        <f t="shared" si="24"/>
        <v>0</v>
      </c>
      <c r="Q142" s="194">
        <f>IFERROR(VLOOKUP(A142,[1]Energiindhold!$A$2:$C$11,3,FALSE),IFERROR(VLOOKUP(A142,[1]Biogasudbytte!$A$2:$B$18,2,FALSE)*[1]Energiindhold!$C$10,0))*O142</f>
        <v>0</v>
      </c>
      <c r="R142" s="194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4">
        <f>IFERROR(VLOOKUP(A142,[1]Biogasudbytte!$A$2:$B$18,2,FALSE)*[1]Energiindhold!$C$10,0)*J142*IFERROR(VLOOKUP(A142,Biogasanlæg!$F$3:$G$8,2,FALSE),1)</f>
        <v>0</v>
      </c>
      <c r="T142" s="195">
        <f t="shared" si="25"/>
        <v>0</v>
      </c>
      <c r="U142" s="193">
        <f>O142*IFERROR(VLOOKUP(A142,[1]Tørstofindhold!A$2:B$25,2,FALSE),0)</f>
        <v>0</v>
      </c>
      <c r="V142" s="194">
        <f>IF(D142=År1,P142,SUM(O142,P142))*IFERROR(VLOOKUP(A142,[1]Tørstofindhold!A$2:B$25,2,FALSE),0)</f>
        <v>0</v>
      </c>
      <c r="W142" s="194">
        <f>J142*IFERROR(VLOOKUP(A142,[1]Tørstofindhold!A$2:B$25,2,FALSE),0)</f>
        <v>0</v>
      </c>
      <c r="X142" s="195">
        <f t="shared" si="26"/>
        <v>0</v>
      </c>
      <c r="Y142" s="173">
        <f t="shared" si="43"/>
        <v>0</v>
      </c>
      <c r="Z142" s="104">
        <f t="shared" si="44"/>
        <v>1</v>
      </c>
    </row>
    <row r="143" spans="1:26" hidden="1" x14ac:dyDescent="0.25">
      <c r="A143" s="196" t="str">
        <f t="shared" si="45"/>
        <v>Tang</v>
      </c>
      <c r="B143" s="196" t="str">
        <f t="shared" si="46"/>
        <v>Havbiomasse</v>
      </c>
      <c r="C143" s="196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6">
        <f t="shared" si="35"/>
        <v>2050</v>
      </c>
      <c r="E143" s="194" t="s">
        <v>24</v>
      </c>
      <c r="F143" s="197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972.68074687720616</v>
      </c>
      <c r="H143" s="194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7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9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6">
        <f t="shared" si="23"/>
        <v>12527.319253122794</v>
      </c>
      <c r="O143" s="197">
        <f t="shared" si="39"/>
        <v>12527.319253122794</v>
      </c>
      <c r="P143" s="207">
        <f t="shared" si="24"/>
        <v>0</v>
      </c>
      <c r="Q143" s="194">
        <f>IFERROR(VLOOKUP(A143,[1]Energiindhold!$A$2:$C$11,3,FALSE),IFERROR(VLOOKUP(A143,[1]Biogasudbytte!$A$2:$B$18,2,FALSE)*[1]Energiindhold!$C$10,0))*O143</f>
        <v>1.1243269029677708E-2</v>
      </c>
      <c r="R143" s="194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1.1243269029677708E-2</v>
      </c>
      <c r="S143" s="194">
        <f>IFERROR(VLOOKUP(A143,[1]Biogasudbytte!$A$2:$B$18,2,FALSE)*[1]Energiindhold!$C$10,0)*J143*IFERROR(VLOOKUP(A143,Biogasanlæg!$F$3:$G$8,2,FALSE),1)</f>
        <v>0</v>
      </c>
      <c r="T143" s="195">
        <f t="shared" si="25"/>
        <v>1.1243269029677708E-2</v>
      </c>
      <c r="U143" s="193">
        <f>O143*IFERROR(VLOOKUP(A143,[1]Tørstofindhold!A$2:B$25,2,FALSE),0)</f>
        <v>1879.0978879684189</v>
      </c>
      <c r="V143" s="194">
        <f>IF(D143=År1,P143,SUM(O143,P143))*IFERROR(VLOOKUP(A143,[1]Tørstofindhold!A$2:B$25,2,FALSE),0)</f>
        <v>1879.0978879684189</v>
      </c>
      <c r="W143" s="194">
        <f>J143*IFERROR(VLOOKUP(A143,[1]Tørstofindhold!A$2:B$25,2,FALSE),0)</f>
        <v>0</v>
      </c>
      <c r="X143" s="195">
        <f t="shared" si="26"/>
        <v>1879.0978879684189</v>
      </c>
      <c r="Y143" s="173">
        <f t="shared" si="43"/>
        <v>0</v>
      </c>
      <c r="Z143" s="104">
        <f t="shared" si="44"/>
        <v>1</v>
      </c>
    </row>
    <row r="144" spans="1:26" hidden="1" x14ac:dyDescent="0.25">
      <c r="A144" s="196" t="str">
        <f t="shared" si="45"/>
        <v>Total til biogas</v>
      </c>
      <c r="B144" s="196" t="str">
        <f t="shared" si="46"/>
        <v/>
      </c>
      <c r="C144" s="196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6">
        <f t="shared" si="35"/>
        <v>2050</v>
      </c>
      <c r="E144" s="194" t="s">
        <v>24</v>
      </c>
      <c r="F144" s="197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4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7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9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6">
        <f t="shared" si="23"/>
        <v>0</v>
      </c>
      <c r="O144" s="197">
        <f t="shared" si="39"/>
        <v>0</v>
      </c>
      <c r="P144" s="207">
        <f t="shared" si="24"/>
        <v>0</v>
      </c>
      <c r="Q144" s="194">
        <f>IFERROR(VLOOKUP(A144,[1]Energiindhold!$A$2:$C$11,3,FALSE),IFERROR(VLOOKUP(A144,[1]Biogasudbytte!$A$2:$B$18,2,FALSE)*[1]Energiindhold!$C$10,0))*O144</f>
        <v>0</v>
      </c>
      <c r="R144" s="194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4">
        <f>IFERROR(VLOOKUP(A144,[1]Biogasudbytte!$A$2:$B$18,2,FALSE)*[1]Energiindhold!$C$10,0)*J144*IFERROR(VLOOKUP(A144,Biogasanlæg!$F$3:$G$8,2,FALSE),1)</f>
        <v>0</v>
      </c>
      <c r="T144" s="195">
        <f t="shared" si="25"/>
        <v>0</v>
      </c>
      <c r="U144" s="193">
        <f>O144*IFERROR(VLOOKUP(A144,[1]Tørstofindhold!A$2:B$25,2,FALSE),0)</f>
        <v>0</v>
      </c>
      <c r="V144" s="194">
        <f>IF(D144=År1,P144,SUM(O144,P144))*IFERROR(VLOOKUP(A144,[1]Tørstofindhold!A$2:B$25,2,FALSE),0)</f>
        <v>0</v>
      </c>
      <c r="W144" s="194">
        <f>J144*IFERROR(VLOOKUP(A144,[1]Tørstofindhold!A$2:B$25,2,FALSE),0)</f>
        <v>0</v>
      </c>
      <c r="X144" s="195">
        <f t="shared" si="26"/>
        <v>0</v>
      </c>
      <c r="Y144" s="173">
        <f t="shared" si="43"/>
        <v>0</v>
      </c>
      <c r="Z144" s="104">
        <f t="shared" si="44"/>
        <v>0</v>
      </c>
    </row>
    <row r="145" spans="1:26" hidden="1" x14ac:dyDescent="0.25">
      <c r="A145" s="196" t="str">
        <f t="shared" si="45"/>
        <v>Træ til energi</v>
      </c>
      <c r="B145" s="196" t="str">
        <f t="shared" si="46"/>
        <v>Vedmasse</v>
      </c>
      <c r="C145" s="196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6">
        <f t="shared" si="35"/>
        <v>2050</v>
      </c>
      <c r="E145" s="194" t="s">
        <v>24</v>
      </c>
      <c r="F145" s="197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2082793.5895249988</v>
      </c>
      <c r="G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4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7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2082793.5895249988</v>
      </c>
      <c r="M145" s="159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6">
        <f t="shared" si="23"/>
        <v>0</v>
      </c>
      <c r="O145" s="197">
        <f t="shared" si="39"/>
        <v>0</v>
      </c>
      <c r="P145" s="207">
        <f t="shared" si="24"/>
        <v>2082793.5895249988</v>
      </c>
      <c r="Q145" s="194">
        <f>IFERROR(VLOOKUP(A145,[1]Energiindhold!$A$2:$C$11,3,FALSE),IFERROR(VLOOKUP(A145,[1]Biogasudbytte!$A$2:$B$18,2,FALSE)*[1]Energiindhold!$C$10,0))*O145</f>
        <v>0</v>
      </c>
      <c r="R145" s="194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30.187112395873719</v>
      </c>
      <c r="S145" s="194">
        <f>IFERROR(VLOOKUP(A145,[1]Biogasudbytte!$A$2:$B$18,2,FALSE)*[1]Energiindhold!$C$10,0)*J145*IFERROR(VLOOKUP(A145,Biogasanlæg!$F$3:$G$8,2,FALSE),1)</f>
        <v>0</v>
      </c>
      <c r="T145" s="195">
        <f t="shared" si="25"/>
        <v>30.187112395873719</v>
      </c>
      <c r="U145" s="193">
        <f>O145*IFERROR(VLOOKUP(A145,[1]Tørstofindhold!A$2:B$25,2,FALSE),0)</f>
        <v>0</v>
      </c>
      <c r="V145" s="194">
        <f>IF(D145=År1,P145,SUM(O145,P145))*IFERROR(VLOOKUP(A145,[1]Tørstofindhold!A$2:B$25,2,FALSE),0)</f>
        <v>1030114.9961525723</v>
      </c>
      <c r="W145" s="194">
        <f>J145*IFERROR(VLOOKUP(A145,[1]Tørstofindhold!A$2:B$25,2,FALSE),0)</f>
        <v>0</v>
      </c>
      <c r="X145" s="195">
        <f t="shared" si="26"/>
        <v>1030114.9961525723</v>
      </c>
      <c r="Y145" s="173">
        <f t="shared" si="43"/>
        <v>0</v>
      </c>
      <c r="Z145" s="104">
        <f t="shared" si="44"/>
        <v>0</v>
      </c>
    </row>
    <row r="146" spans="1:26" hidden="1" x14ac:dyDescent="0.25">
      <c r="A146" s="196" t="str">
        <f t="shared" si="45"/>
        <v>Træmaterialer</v>
      </c>
      <c r="B146" s="196" t="str">
        <f t="shared" si="46"/>
        <v/>
      </c>
      <c r="C146" s="196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6">
        <f t="shared" si="35"/>
        <v>2050</v>
      </c>
      <c r="E146" s="194" t="s">
        <v>24</v>
      </c>
      <c r="F146" s="197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589248.78125222854</v>
      </c>
      <c r="G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4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7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9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6">
        <f t="shared" si="23"/>
        <v>589248.78125222854</v>
      </c>
      <c r="O146" s="197">
        <f t="shared" si="39"/>
        <v>0</v>
      </c>
      <c r="P146" s="207">
        <f t="shared" si="24"/>
        <v>0</v>
      </c>
      <c r="Q146" s="194">
        <f>IFERROR(VLOOKUP(A146,[1]Energiindhold!$A$2:$C$11,3,FALSE),IFERROR(VLOOKUP(A146,[1]Biogasudbytte!$A$2:$B$18,2,FALSE)*[1]Energiindhold!$C$10,0))*O146</f>
        <v>0</v>
      </c>
      <c r="R146" s="194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4">
        <f>IFERROR(VLOOKUP(A146,[1]Biogasudbytte!$A$2:$B$18,2,FALSE)*[1]Energiindhold!$C$10,0)*J146*IFERROR(VLOOKUP(A146,Biogasanlæg!$F$3:$G$8,2,FALSE),1)</f>
        <v>0</v>
      </c>
      <c r="T146" s="195">
        <f t="shared" si="25"/>
        <v>0</v>
      </c>
      <c r="U146" s="193">
        <f>O146*IFERROR(VLOOKUP(A146,[1]Tørstofindhold!A$2:B$25,2,FALSE),0)</f>
        <v>0</v>
      </c>
      <c r="V146" s="194">
        <f>IF(D146=År1,P146,SUM(O146,P146))*IFERROR(VLOOKUP(A146,[1]Tørstofindhold!A$2:B$25,2,FALSE),0)</f>
        <v>0</v>
      </c>
      <c r="W146" s="194">
        <f>J146*IFERROR(VLOOKUP(A146,[1]Tørstofindhold!A$2:B$25,2,FALSE),0)</f>
        <v>0</v>
      </c>
      <c r="X146" s="195">
        <f t="shared" si="26"/>
        <v>0</v>
      </c>
      <c r="Y146" s="173">
        <f t="shared" si="43"/>
        <v>0</v>
      </c>
      <c r="Z146" s="104">
        <f t="shared" si="44"/>
        <v>1</v>
      </c>
    </row>
    <row r="147" spans="1:26" x14ac:dyDescent="0.25">
      <c r="A147" s="196" t="s">
        <v>15</v>
      </c>
      <c r="B147" s="196"/>
      <c r="C147" s="196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6">
        <f t="shared" ref="D147:D194" si="47">År1</f>
        <v>2019</v>
      </c>
      <c r="E147" s="194" t="s">
        <v>25</v>
      </c>
      <c r="F147" s="197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4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7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9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6">
        <f t="shared" si="23"/>
        <v>-8430.5352358472264</v>
      </c>
      <c r="O147" s="197">
        <f t="shared" si="39"/>
        <v>0</v>
      </c>
      <c r="P147" s="207">
        <f t="shared" si="24"/>
        <v>0</v>
      </c>
      <c r="Q147" s="194">
        <f>IFERROR(VLOOKUP(A147,[1]Energiindhold!$A$2:$C$11,3,FALSE),IFERROR(VLOOKUP(A147,[1]Biogasudbytte!$A$2:$B$18,2,FALSE)*[1]Energiindhold!$C$10,0))*O147</f>
        <v>0</v>
      </c>
      <c r="R147" s="194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4">
        <f>IFERROR(VLOOKUP(A147,[1]Biogasudbytte!$A$2:$B$18,2,FALSE)*[1]Energiindhold!$C$10,0)*J147*IFERROR(VLOOKUP(A147,Biogasanlæg!$F$3:$G$8,2,FALSE),1)</f>
        <v>0</v>
      </c>
      <c r="T147" s="195">
        <f t="shared" si="25"/>
        <v>0</v>
      </c>
      <c r="U147" s="193">
        <f>O147*IFERROR(VLOOKUP(A147,[1]Tørstofindhold!A$2:B$25,2,FALSE),0)</f>
        <v>0</v>
      </c>
      <c r="V147" s="194">
        <f>IF(D147=År1,P147,SUM(O147,P147))*IFERROR(VLOOKUP(A147,[1]Tørstofindhold!A$2:B$25,2,FALSE),0)</f>
        <v>0</v>
      </c>
      <c r="W147" s="194">
        <f>J147*IFERROR(VLOOKUP(A147,[1]Tørstofindhold!A$2:B$25,2,FALSE),0)</f>
        <v>0</v>
      </c>
      <c r="X147" s="195">
        <f t="shared" si="26"/>
        <v>0</v>
      </c>
      <c r="Y147" s="173">
        <f t="shared" si="43"/>
        <v>0</v>
      </c>
      <c r="Z147" s="104">
        <f t="shared" si="44"/>
        <v>1</v>
      </c>
    </row>
    <row r="148" spans="1:26" hidden="1" x14ac:dyDescent="0.25">
      <c r="A148" s="196" t="s">
        <v>50</v>
      </c>
      <c r="B148" s="196"/>
      <c r="C148" s="196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6">
        <f t="shared" si="47"/>
        <v>2019</v>
      </c>
      <c r="E148" s="194" t="s">
        <v>25</v>
      </c>
      <c r="F148" s="197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4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7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9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6">
        <f t="shared" si="23"/>
        <v>19123.155694952475</v>
      </c>
      <c r="O148" s="197">
        <f t="shared" si="39"/>
        <v>0</v>
      </c>
      <c r="P148" s="207">
        <f t="shared" si="24"/>
        <v>0</v>
      </c>
      <c r="Q148" s="194">
        <f>IFERROR(VLOOKUP(A148,[1]Energiindhold!$A$2:$C$11,3,FALSE),IFERROR(VLOOKUP(A148,[1]Biogasudbytte!$A$2:$B$18,2,FALSE)*[1]Energiindhold!$C$10,0))*O148</f>
        <v>0</v>
      </c>
      <c r="R148" s="194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4">
        <f>IFERROR(VLOOKUP(A148,[1]Biogasudbytte!$A$2:$B$18,2,FALSE)*[1]Energiindhold!$C$10,0)*J148*IFERROR(VLOOKUP(A148,Biogasanlæg!$F$3:$G$8,2,FALSE),1)</f>
        <v>0</v>
      </c>
      <c r="T148" s="195">
        <f t="shared" si="25"/>
        <v>0</v>
      </c>
      <c r="U148" s="193">
        <f>O148*IFERROR(VLOOKUP(A148,[1]Tørstofindhold!A$2:B$25,2,FALSE),0)</f>
        <v>0</v>
      </c>
      <c r="V148" s="194">
        <f>IF(D148=År1,P148,SUM(O148,P148))*IFERROR(VLOOKUP(A148,[1]Tørstofindhold!A$2:B$25,2,FALSE),0)</f>
        <v>0</v>
      </c>
      <c r="W148" s="194">
        <f>J148*IFERROR(VLOOKUP(A148,[1]Tørstofindhold!A$2:B$25,2,FALSE),0)</f>
        <v>0</v>
      </c>
      <c r="X148" s="195">
        <f t="shared" si="26"/>
        <v>0</v>
      </c>
      <c r="Y148" s="173">
        <f t="shared" si="43"/>
        <v>0</v>
      </c>
      <c r="Z148" s="104">
        <f t="shared" si="44"/>
        <v>1</v>
      </c>
    </row>
    <row r="149" spans="1:26" hidden="1" x14ac:dyDescent="0.25">
      <c r="A149" s="196" t="s">
        <v>104</v>
      </c>
      <c r="B149" s="196" t="s">
        <v>242</v>
      </c>
      <c r="C149" s="196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6">
        <f t="shared" si="47"/>
        <v>2019</v>
      </c>
      <c r="E149" s="194" t="s">
        <v>25</v>
      </c>
      <c r="F149" s="197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0</v>
      </c>
      <c r="G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4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7" t="e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#REF!</v>
      </c>
      <c r="K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7" t="e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#REF!</v>
      </c>
      <c r="M149" s="159" t="e">
        <f ca="1">SUMIFS('Forbrug af biomasse'!E:E,'Forbrug af biomasse'!C:C,'Resultat-Produktion &amp; forbrug'!$A149,'Forbrug af biomasse'!D:D,'Resultat-Produktion &amp; forbrug'!$D149,'Forbrug af biomasse'!G:G,1,'Forbrug af biomasse'!B:B,$E149)</f>
        <v>#REF!</v>
      </c>
      <c r="N149" s="206" t="e">
        <f t="shared" ca="1" si="23"/>
        <v>#REF!</v>
      </c>
      <c r="O149" s="197" t="e">
        <f t="shared" ca="1" si="39"/>
        <v>#REF!</v>
      </c>
      <c r="P149" s="207" t="e">
        <f t="shared" ca="1" si="24"/>
        <v>#REF!</v>
      </c>
      <c r="Q149" s="194" t="e">
        <f ca="1">IFERROR(VLOOKUP(A149,[1]Energiindhold!$A$2:$C$11,3,FALSE),IFERROR(VLOOKUP(A149,[1]Biogasudbytte!$A$2:$B$18,2,FALSE)*[1]Energiindhold!$C$10,0))*O149</f>
        <v>#REF!</v>
      </c>
      <c r="R149" s="194" t="e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#REF!</v>
      </c>
      <c r="S149" s="194" t="e">
        <f ca="1">IFERROR(VLOOKUP(A149,[1]Biogasudbytte!$A$2:$B$18,2,FALSE)*[1]Energiindhold!$C$10,0)*J149*IFERROR(VLOOKUP(A149,Biogasanlæg!$F$3:$G$8,2,FALSE),1)</f>
        <v>#REF!</v>
      </c>
      <c r="T149" s="195" t="e">
        <f t="shared" ca="1" si="25"/>
        <v>#REF!</v>
      </c>
      <c r="U149" s="193" t="e">
        <f ca="1">O149*IFERROR(VLOOKUP(A149,[1]Tørstofindhold!A$2:B$25,2,FALSE),0)</f>
        <v>#REF!</v>
      </c>
      <c r="V149" s="194" t="e">
        <f ca="1">IF(D149=År1,P149,SUM(O149,P149))*IFERROR(VLOOKUP(A149,[1]Tørstofindhold!A$2:B$25,2,FALSE),0)</f>
        <v>#REF!</v>
      </c>
      <c r="W149" s="194" t="e">
        <f ca="1">J149*IFERROR(VLOOKUP(A149,[1]Tørstofindhold!A$2:B$25,2,FALSE),0)</f>
        <v>#REF!</v>
      </c>
      <c r="X149" s="195" t="e">
        <f t="shared" ca="1" si="26"/>
        <v>#REF!</v>
      </c>
      <c r="Y149" s="173" t="e">
        <f t="shared" ca="1" si="43"/>
        <v>#REF!</v>
      </c>
      <c r="Z149" s="104" t="e">
        <f t="shared" ca="1" si="44"/>
        <v>#REF!</v>
      </c>
    </row>
    <row r="150" spans="1:26" hidden="1" x14ac:dyDescent="0.25">
      <c r="A150" s="196" t="s">
        <v>112</v>
      </c>
      <c r="B150" s="196"/>
      <c r="C150" s="196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6">
        <f t="shared" si="47"/>
        <v>2019</v>
      </c>
      <c r="E150" s="194" t="s">
        <v>25</v>
      </c>
      <c r="F150" s="197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80656592.240423515</v>
      </c>
      <c r="G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4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7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80656592.240423515</v>
      </c>
      <c r="M150" s="159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6">
        <f t="shared" ref="N150:N215" ca="1" si="48">F150-SUM(G150:M150)</f>
        <v>0</v>
      </c>
      <c r="O150" s="197">
        <f t="shared" ca="1" si="39"/>
        <v>0</v>
      </c>
      <c r="P150" s="207">
        <f t="shared" ref="P150:P215" ca="1" si="49">SUM(J150,L150)</f>
        <v>80656592.240423515</v>
      </c>
      <c r="Q150" s="194">
        <f ca="1">IFERROR(VLOOKUP(A150,[1]Energiindhold!$A$2:$C$11,3,FALSE),IFERROR(VLOOKUP(A150,[1]Biogasudbytte!$A$2:$B$18,2,FALSE)*[1]Energiindhold!$C$10,0))*O150</f>
        <v>0</v>
      </c>
      <c r="R150" s="194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4">
        <f>IFERROR(VLOOKUP(A150,[1]Biogasudbytte!$A$2:$B$18,2,FALSE)*[1]Energiindhold!$C$10,0)*J150*IFERROR(VLOOKUP(A150,Biogasanlæg!$F$3:$G$8,2,FALSE),1)</f>
        <v>0</v>
      </c>
      <c r="T150" s="195">
        <f t="shared" ref="T150:T215" si="50">R150-S150</f>
        <v>0</v>
      </c>
      <c r="U150" s="193">
        <f ca="1">O150*IFERROR(VLOOKUP(A150,[1]Tørstofindhold!A$2:B$25,2,FALSE),0)</f>
        <v>0</v>
      </c>
      <c r="V150" s="194">
        <f ca="1">IF(D150=År1,P150,SUM(O150,P150))*IFERROR(VLOOKUP(A150,[1]Tørstofindhold!A$2:B$25,2,FALSE),0)</f>
        <v>0</v>
      </c>
      <c r="W150" s="194">
        <f>J150*IFERROR(VLOOKUP(A150,[1]Tørstofindhold!A$2:B$25,2,FALSE),0)</f>
        <v>0</v>
      </c>
      <c r="X150" s="195">
        <f t="shared" ref="X150:X215" ca="1" si="51">V150-W150</f>
        <v>0</v>
      </c>
      <c r="Y150" s="173">
        <f t="shared" ca="1" si="43"/>
        <v>0</v>
      </c>
      <c r="Z150" s="104">
        <f t="shared" ca="1" si="44"/>
        <v>0</v>
      </c>
    </row>
    <row r="151" spans="1:26" hidden="1" x14ac:dyDescent="0.25">
      <c r="A151" s="196" t="s">
        <v>113</v>
      </c>
      <c r="B151" s="196"/>
      <c r="C151" s="196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6">
        <f t="shared" si="47"/>
        <v>2019</v>
      </c>
      <c r="E151" s="194" t="s">
        <v>25</v>
      </c>
      <c r="F151" s="197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0</v>
      </c>
      <c r="G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4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7" t="e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#REF!</v>
      </c>
      <c r="L151" s="197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9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6" t="e">
        <f t="shared" ca="1" si="48"/>
        <v>#REF!</v>
      </c>
      <c r="O151" s="197">
        <f t="shared" si="39"/>
        <v>0</v>
      </c>
      <c r="P151" s="207">
        <f t="shared" si="49"/>
        <v>0</v>
      </c>
      <c r="Q151" s="194">
        <f>IFERROR(VLOOKUP(A151,[1]Energiindhold!$A$2:$C$11,3,FALSE),IFERROR(VLOOKUP(A151,[1]Biogasudbytte!$A$2:$B$18,2,FALSE)*[1]Energiindhold!$C$10,0))*O151</f>
        <v>0</v>
      </c>
      <c r="R151" s="194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4">
        <f>IFERROR(VLOOKUP(A151,[1]Biogasudbytte!$A$2:$B$18,2,FALSE)*[1]Energiindhold!$C$10,0)*J151*IFERROR(VLOOKUP(A151,Biogasanlæg!$F$3:$G$8,2,FALSE),1)</f>
        <v>0</v>
      </c>
      <c r="T151" s="195">
        <f t="shared" si="50"/>
        <v>0</v>
      </c>
      <c r="U151" s="193">
        <f>O151*IFERROR(VLOOKUP(A151,[1]Tørstofindhold!A$2:B$25,2,FALSE),0)</f>
        <v>0</v>
      </c>
      <c r="V151" s="194">
        <f>IF(D151=År1,P151,SUM(O151,P151))*IFERROR(VLOOKUP(A151,[1]Tørstofindhold!A$2:B$25,2,FALSE),0)</f>
        <v>0</v>
      </c>
      <c r="W151" s="194">
        <f>J151*IFERROR(VLOOKUP(A151,[1]Tørstofindhold!A$2:B$25,2,FALSE),0)</f>
        <v>0</v>
      </c>
      <c r="X151" s="195">
        <f t="shared" si="51"/>
        <v>0</v>
      </c>
      <c r="Y151" s="173" t="e">
        <f t="shared" ca="1" si="43"/>
        <v>#REF!</v>
      </c>
      <c r="Z151" s="104" t="e">
        <f t="shared" ca="1" si="44"/>
        <v>#REF!</v>
      </c>
    </row>
    <row r="152" spans="1:26" hidden="1" x14ac:dyDescent="0.25">
      <c r="A152" s="196" t="s">
        <v>217</v>
      </c>
      <c r="B152" s="196" t="s">
        <v>242</v>
      </c>
      <c r="C152" s="196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6">
        <f t="shared" si="47"/>
        <v>2019</v>
      </c>
      <c r="E152" s="194" t="s">
        <v>25</v>
      </c>
      <c r="F152" s="197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4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7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9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6">
        <f t="shared" si="48"/>
        <v>0</v>
      </c>
      <c r="O152" s="197">
        <f t="shared" si="39"/>
        <v>0</v>
      </c>
      <c r="P152" s="207">
        <f t="shared" si="49"/>
        <v>0</v>
      </c>
      <c r="Q152" s="194">
        <f>IFERROR(VLOOKUP(A152,[1]Energiindhold!$A$2:$C$11,3,FALSE),IFERROR(VLOOKUP(A152,[1]Biogasudbytte!$A$2:$B$18,2,FALSE)*[1]Energiindhold!$C$10,0))*O152</f>
        <v>0</v>
      </c>
      <c r="R152" s="194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4">
        <f>IFERROR(VLOOKUP(A152,[1]Biogasudbytte!$A$2:$B$18,2,FALSE)*[1]Energiindhold!$C$10,0)*J152*IFERROR(VLOOKUP(A152,Biogasanlæg!$F$3:$G$8,2,FALSE),1)</f>
        <v>0</v>
      </c>
      <c r="T152" s="195">
        <f t="shared" si="50"/>
        <v>0</v>
      </c>
      <c r="U152" s="193">
        <f>O152*IFERROR(VLOOKUP(A152,[1]Tørstofindhold!A$2:B$25,2,FALSE),0)</f>
        <v>0</v>
      </c>
      <c r="V152" s="194">
        <f>IF(D152=År1,P152,SUM(O152,P152))*IFERROR(VLOOKUP(A152,[1]Tørstofindhold!A$2:B$25,2,FALSE),0)</f>
        <v>0</v>
      </c>
      <c r="W152" s="194">
        <f>J152*IFERROR(VLOOKUP(A152,[1]Tørstofindhold!A$2:B$25,2,FALSE),0)</f>
        <v>0</v>
      </c>
      <c r="X152" s="195">
        <f t="shared" si="51"/>
        <v>0</v>
      </c>
      <c r="Y152" s="173">
        <f t="shared" si="43"/>
        <v>0</v>
      </c>
      <c r="Z152" s="104">
        <f t="shared" si="44"/>
        <v>0</v>
      </c>
    </row>
    <row r="153" spans="1:26" hidden="1" x14ac:dyDescent="0.25">
      <c r="A153" s="194" t="s">
        <v>103</v>
      </c>
      <c r="B153" s="196" t="s">
        <v>234</v>
      </c>
      <c r="C153" s="196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6">
        <f t="shared" si="47"/>
        <v>2019</v>
      </c>
      <c r="E153" s="194" t="s">
        <v>25</v>
      </c>
      <c r="F153" s="197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4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7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9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6">
        <f t="shared" si="48"/>
        <v>153410.57659836096</v>
      </c>
      <c r="O153" s="197">
        <f t="shared" si="39"/>
        <v>153410.57659836096</v>
      </c>
      <c r="P153" s="207">
        <f t="shared" si="49"/>
        <v>85892.328449707566</v>
      </c>
      <c r="Q153" s="194">
        <f>IFERROR(VLOOKUP(A153,[1]Energiindhold!$A$2:$C$11,3,FALSE),IFERROR(VLOOKUP(A153,[1]Biogasudbytte!$A$2:$B$18,2,FALSE)*[1]Energiindhold!$C$10,0))*O153</f>
        <v>0.33044638199286952</v>
      </c>
      <c r="R153" s="194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4">
        <f>IFERROR(VLOOKUP(A153,[1]Biogasudbytte!$A$2:$B$18,2,FALSE)*[1]Energiindhold!$C$10,0)*J153*IFERROR(VLOOKUP(A153,Biogasanlæg!$F$3:$G$8,2,FALSE),1)</f>
        <v>0.18501207548067011</v>
      </c>
      <c r="T153" s="195">
        <f t="shared" si="50"/>
        <v>0</v>
      </c>
      <c r="U153" s="193">
        <f>O153*IFERROR(VLOOKUP(A153,[1]Tørstofindhold!A$2:B$25,2,FALSE),0)</f>
        <v>46023.172979508287</v>
      </c>
      <c r="V153" s="194">
        <f>IF(D153=År1,P153,SUM(O153,P153))*IFERROR(VLOOKUP(A153,[1]Tørstofindhold!A$2:B$25,2,FALSE),0)</f>
        <v>25767.69853491227</v>
      </c>
      <c r="W153" s="194">
        <f>J153*IFERROR(VLOOKUP(A153,[1]Tørstofindhold!A$2:B$25,2,FALSE),0)</f>
        <v>25767.69853491227</v>
      </c>
      <c r="X153" s="195">
        <f t="shared" si="51"/>
        <v>0</v>
      </c>
      <c r="Y153" s="173">
        <f t="shared" si="43"/>
        <v>0</v>
      </c>
      <c r="Z153" s="104">
        <f t="shared" si="44"/>
        <v>1</v>
      </c>
    </row>
    <row r="154" spans="1:26" hidden="1" x14ac:dyDescent="0.25">
      <c r="A154" s="194" t="s">
        <v>213</v>
      </c>
      <c r="B154" s="196"/>
      <c r="C154" s="196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6">
        <f t="shared" si="47"/>
        <v>2019</v>
      </c>
      <c r="E154" s="194" t="s">
        <v>25</v>
      </c>
      <c r="F154" s="197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4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7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9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6">
        <f t="shared" si="48"/>
        <v>0</v>
      </c>
      <c r="O154" s="197">
        <f t="shared" si="39"/>
        <v>0</v>
      </c>
      <c r="P154" s="207">
        <f t="shared" si="49"/>
        <v>0</v>
      </c>
      <c r="Q154" s="194">
        <f>IFERROR(VLOOKUP(A154,[1]Energiindhold!$A$2:$C$11,3,FALSE),IFERROR(VLOOKUP(A154,[1]Biogasudbytte!$A$2:$B$18,2,FALSE)*[1]Energiindhold!$C$10,0))*O154</f>
        <v>0</v>
      </c>
      <c r="R154" s="194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4">
        <f>IFERROR(VLOOKUP(A154,[1]Biogasudbytte!$A$2:$B$18,2,FALSE)*[1]Energiindhold!$C$10,0)*J154*IFERROR(VLOOKUP(A154,Biogasanlæg!$F$3:$G$8,2,FALSE),1)</f>
        <v>0</v>
      </c>
      <c r="T154" s="195">
        <f t="shared" si="50"/>
        <v>0</v>
      </c>
      <c r="U154" s="193">
        <f>O154*IFERROR(VLOOKUP(A154,[1]Tørstofindhold!A$2:B$25,2,FALSE),0)</f>
        <v>0</v>
      </c>
      <c r="V154" s="194">
        <f>IF(D154=År1,P154,SUM(O154,P154))*IFERROR(VLOOKUP(A154,[1]Tørstofindhold!A$2:B$25,2,FALSE),0)</f>
        <v>0</v>
      </c>
      <c r="W154" s="194">
        <f>J154*IFERROR(VLOOKUP(A154,[1]Tørstofindhold!A$2:B$25,2,FALSE),0)</f>
        <v>0</v>
      </c>
      <c r="X154" s="195">
        <f t="shared" si="51"/>
        <v>0</v>
      </c>
      <c r="Y154" s="173">
        <f t="shared" si="43"/>
        <v>0</v>
      </c>
      <c r="Z154" s="104">
        <f t="shared" si="44"/>
        <v>0</v>
      </c>
    </row>
    <row r="155" spans="1:26" hidden="1" x14ac:dyDescent="0.25">
      <c r="A155" s="194" t="s">
        <v>143</v>
      </c>
      <c r="B155" s="196" t="s">
        <v>234</v>
      </c>
      <c r="C155" s="196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6">
        <f t="shared" si="47"/>
        <v>2019</v>
      </c>
      <c r="E155" s="194" t="s">
        <v>25</v>
      </c>
      <c r="F155" s="197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4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7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9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6">
        <f t="shared" si="48"/>
        <v>82.011356759878481</v>
      </c>
      <c r="O155" s="197">
        <f t="shared" si="39"/>
        <v>82.011356759878481</v>
      </c>
      <c r="P155" s="207">
        <f t="shared" si="49"/>
        <v>337.693821952441</v>
      </c>
      <c r="Q155" s="194">
        <f>IFERROR(VLOOKUP(A155,[1]Energiindhold!$A$2:$C$11,3,FALSE),IFERROR(VLOOKUP(A155,[1]Biogasudbytte!$A$2:$B$18,2,FALSE)*[1]Energiindhold!$C$10,0))*O155</f>
        <v>3.8569120970603255E-5</v>
      </c>
      <c r="R155" s="194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4">
        <f>IFERROR(VLOOKUP(A155,[1]Biogasudbytte!$A$2:$B$18,2,FALSE)*[1]Energiindhold!$C$10,0)*J155*IFERROR(VLOOKUP(A155,Biogasanlæg!$F$3:$G$8,2,FALSE),1)</f>
        <v>1.5881402752601349E-4</v>
      </c>
      <c r="T155" s="195">
        <f t="shared" si="50"/>
        <v>0</v>
      </c>
      <c r="U155" s="193">
        <f>O155*IFERROR(VLOOKUP(A155,[1]Tørstofindhold!A$2:B$25,2,FALSE),0)</f>
        <v>5.1667154758723441</v>
      </c>
      <c r="V155" s="194">
        <f>IF(D155=År1,P155,SUM(O155,P155))*IFERROR(VLOOKUP(A155,[1]Tørstofindhold!A$2:B$25,2,FALSE),0)</f>
        <v>21.274710783003783</v>
      </c>
      <c r="W155" s="194">
        <f>J155*IFERROR(VLOOKUP(A155,[1]Tørstofindhold!A$2:B$25,2,FALSE),0)</f>
        <v>21.274710783003783</v>
      </c>
      <c r="X155" s="195">
        <f t="shared" si="51"/>
        <v>0</v>
      </c>
      <c r="Y155" s="173">
        <f t="shared" si="43"/>
        <v>0</v>
      </c>
      <c r="Z155" s="104">
        <f t="shared" si="44"/>
        <v>1</v>
      </c>
    </row>
    <row r="156" spans="1:26" x14ac:dyDescent="0.25">
      <c r="A156" s="194" t="s">
        <v>98</v>
      </c>
      <c r="B156" s="196"/>
      <c r="C156" s="196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6">
        <f t="shared" si="47"/>
        <v>2019</v>
      </c>
      <c r="E156" s="194" t="s">
        <v>25</v>
      </c>
      <c r="F156" s="197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4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7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9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6">
        <f t="shared" si="48"/>
        <v>-13151.581373695415</v>
      </c>
      <c r="O156" s="197">
        <f t="shared" si="39"/>
        <v>0</v>
      </c>
      <c r="P156" s="207">
        <f t="shared" si="49"/>
        <v>0</v>
      </c>
      <c r="Q156" s="194">
        <f>IFERROR(VLOOKUP(A156,[1]Energiindhold!$A$2:$C$11,3,FALSE),IFERROR(VLOOKUP(A156,[1]Biogasudbytte!$A$2:$B$18,2,FALSE)*[1]Energiindhold!$C$10,0))*O156</f>
        <v>0</v>
      </c>
      <c r="R156" s="194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4">
        <f>IFERROR(VLOOKUP(A156,[1]Biogasudbytte!$A$2:$B$18,2,FALSE)*[1]Energiindhold!$C$10,0)*J156*IFERROR(VLOOKUP(A156,Biogasanlæg!$F$3:$G$8,2,FALSE),1)</f>
        <v>0</v>
      </c>
      <c r="T156" s="195">
        <f t="shared" si="50"/>
        <v>0</v>
      </c>
      <c r="U156" s="193">
        <f>O156*IFERROR(VLOOKUP(A156,[1]Tørstofindhold!A$2:B$25,2,FALSE),0)</f>
        <v>0</v>
      </c>
      <c r="V156" s="194">
        <f>IF(D156=År1,P156,SUM(O156,P156))*IFERROR(VLOOKUP(A156,[1]Tørstofindhold!A$2:B$25,2,FALSE),0)</f>
        <v>0</v>
      </c>
      <c r="W156" s="194">
        <f>J156*IFERROR(VLOOKUP(A156,[1]Tørstofindhold!A$2:B$25,2,FALSE),0)</f>
        <v>0</v>
      </c>
      <c r="X156" s="195">
        <f t="shared" si="51"/>
        <v>0</v>
      </c>
      <c r="Y156" s="173">
        <f t="shared" si="43"/>
        <v>0</v>
      </c>
      <c r="Z156" s="104">
        <f t="shared" si="44"/>
        <v>1</v>
      </c>
    </row>
    <row r="157" spans="1:26" hidden="1" x14ac:dyDescent="0.25">
      <c r="A157" s="194" t="s">
        <v>116</v>
      </c>
      <c r="B157" s="196"/>
      <c r="C157" s="196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6">
        <f t="shared" si="47"/>
        <v>2019</v>
      </c>
      <c r="E157" s="194" t="s">
        <v>25</v>
      </c>
      <c r="F157" s="197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4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7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9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6">
        <f t="shared" si="48"/>
        <v>612515.4514426298</v>
      </c>
      <c r="O157" s="197">
        <f t="shared" si="39"/>
        <v>0</v>
      </c>
      <c r="P157" s="207">
        <f t="shared" si="49"/>
        <v>0</v>
      </c>
      <c r="Q157" s="194">
        <f>IFERROR(VLOOKUP(A157,[1]Energiindhold!$A$2:$C$11,3,FALSE),IFERROR(VLOOKUP(A157,[1]Biogasudbytte!$A$2:$B$18,2,FALSE)*[1]Energiindhold!$C$10,0))*O157</f>
        <v>0</v>
      </c>
      <c r="R157" s="194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4">
        <f>IFERROR(VLOOKUP(A157,[1]Biogasudbytte!$A$2:$B$18,2,FALSE)*[1]Energiindhold!$C$10,0)*J157*IFERROR(VLOOKUP(A157,Biogasanlæg!$F$3:$G$8,2,FALSE),1)</f>
        <v>0</v>
      </c>
      <c r="T157" s="195">
        <f t="shared" si="50"/>
        <v>0</v>
      </c>
      <c r="U157" s="193">
        <f>O157*IFERROR(VLOOKUP(A157,[1]Tørstofindhold!A$2:B$25,2,FALSE),0)</f>
        <v>0</v>
      </c>
      <c r="V157" s="194">
        <f>IF(D157=År1,P157,SUM(O157,P157))*IFERROR(VLOOKUP(A157,[1]Tørstofindhold!A$2:B$25,2,FALSE),0)</f>
        <v>0</v>
      </c>
      <c r="W157" s="194">
        <f>J157*IFERROR(VLOOKUP(A157,[1]Tørstofindhold!A$2:B$25,2,FALSE),0)</f>
        <v>0</v>
      </c>
      <c r="X157" s="195">
        <f t="shared" si="51"/>
        <v>0</v>
      </c>
      <c r="Y157" s="173">
        <f t="shared" si="43"/>
        <v>0</v>
      </c>
      <c r="Z157" s="104">
        <f t="shared" si="44"/>
        <v>1</v>
      </c>
    </row>
    <row r="158" spans="1:26" x14ac:dyDescent="0.25">
      <c r="A158" s="194" t="s">
        <v>55</v>
      </c>
      <c r="B158" s="196"/>
      <c r="C158" s="196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6">
        <f t="shared" si="47"/>
        <v>2019</v>
      </c>
      <c r="E158" s="194" t="s">
        <v>25</v>
      </c>
      <c r="F158" s="197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4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7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9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6">
        <f t="shared" si="48"/>
        <v>-196999.76656780957</v>
      </c>
      <c r="O158" s="197">
        <f t="shared" si="39"/>
        <v>0</v>
      </c>
      <c r="P158" s="207">
        <f t="shared" si="49"/>
        <v>0</v>
      </c>
      <c r="Q158" s="194">
        <f>IFERROR(VLOOKUP(A158,[1]Energiindhold!$A$2:$C$11,3,FALSE),IFERROR(VLOOKUP(A158,[1]Biogasudbytte!$A$2:$B$18,2,FALSE)*[1]Energiindhold!$C$10,0))*O158</f>
        <v>0</v>
      </c>
      <c r="R158" s="194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4">
        <f>IFERROR(VLOOKUP(A158,[1]Biogasudbytte!$A$2:$B$18,2,FALSE)*[1]Energiindhold!$C$10,0)*J158*IFERROR(VLOOKUP(A158,Biogasanlæg!$F$3:$G$8,2,FALSE),1)</f>
        <v>0</v>
      </c>
      <c r="T158" s="195">
        <f t="shared" si="50"/>
        <v>0</v>
      </c>
      <c r="U158" s="193">
        <f>O158*IFERROR(VLOOKUP(A158,[1]Tørstofindhold!A$2:B$25,2,FALSE),0)</f>
        <v>0</v>
      </c>
      <c r="V158" s="194">
        <f>IF(D158=År1,P158,SUM(O158,P158))*IFERROR(VLOOKUP(A158,[1]Tørstofindhold!A$2:B$25,2,FALSE),0)</f>
        <v>0</v>
      </c>
      <c r="W158" s="194">
        <f>J158*IFERROR(VLOOKUP(A158,[1]Tørstofindhold!A$2:B$25,2,FALSE),0)</f>
        <v>0</v>
      </c>
      <c r="X158" s="195">
        <f t="shared" si="51"/>
        <v>0</v>
      </c>
      <c r="Y158" s="173">
        <f t="shared" si="43"/>
        <v>1</v>
      </c>
      <c r="Z158" s="104">
        <f t="shared" si="44"/>
        <v>0</v>
      </c>
    </row>
    <row r="159" spans="1:26" hidden="1" x14ac:dyDescent="0.25">
      <c r="A159" s="196" t="s">
        <v>165</v>
      </c>
      <c r="B159" s="196" t="s">
        <v>165</v>
      </c>
      <c r="C159" s="196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6">
        <f t="shared" si="47"/>
        <v>2019</v>
      </c>
      <c r="E159" s="194" t="s">
        <v>25</v>
      </c>
      <c r="F159" s="197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4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7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9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6">
        <f t="shared" si="48"/>
        <v>-28548.400000000001</v>
      </c>
      <c r="O159" s="197">
        <f t="shared" si="39"/>
        <v>0</v>
      </c>
      <c r="P159" s="207">
        <f t="shared" si="49"/>
        <v>28548.400000000001</v>
      </c>
      <c r="Q159" s="194">
        <f>IFERROR(VLOOKUP(A159,[1]Energiindhold!$A$2:$C$11,3,FALSE),IFERROR(VLOOKUP(A159,[1]Biogasudbytte!$A$2:$B$18,2,FALSE)*[1]Energiindhold!$C$10,0))*O159</f>
        <v>0</v>
      </c>
      <c r="R159" s="194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4">
        <f>IFERROR(VLOOKUP(A159,[1]Biogasudbytte!$A$2:$B$18,2,FALSE)*[1]Energiindhold!$C$10,0)*J159*IFERROR(VLOOKUP(A159,Biogasanlæg!$F$3:$G$8,2,FALSE),1)</f>
        <v>0.43389639740160008</v>
      </c>
      <c r="T159" s="195">
        <f t="shared" si="50"/>
        <v>0</v>
      </c>
      <c r="U159" s="193">
        <f>O159*IFERROR(VLOOKUP(A159,[1]Tørstofindhold!A$2:B$25,2,FALSE),0)</f>
        <v>0</v>
      </c>
      <c r="V159" s="194">
        <f>IF(D159=År1,P159,SUM(O159,P159))*IFERROR(VLOOKUP(A159,[1]Tørstofindhold!A$2:B$25,2,FALSE),0)</f>
        <v>25693.56</v>
      </c>
      <c r="W159" s="194">
        <f>J159*IFERROR(VLOOKUP(A159,[1]Tørstofindhold!A$2:B$25,2,FALSE),0)</f>
        <v>25693.56</v>
      </c>
      <c r="X159" s="195">
        <f t="shared" si="51"/>
        <v>0</v>
      </c>
      <c r="Y159" s="173">
        <f t="shared" si="43"/>
        <v>1</v>
      </c>
      <c r="Z159" s="104">
        <f t="shared" si="44"/>
        <v>0</v>
      </c>
    </row>
    <row r="160" spans="1:26" hidden="1" x14ac:dyDescent="0.25">
      <c r="A160" s="196" t="s">
        <v>52</v>
      </c>
      <c r="B160" s="196" t="s">
        <v>236</v>
      </c>
      <c r="C160" s="196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6">
        <f t="shared" si="47"/>
        <v>2019</v>
      </c>
      <c r="E160" s="194" t="s">
        <v>25</v>
      </c>
      <c r="F160" s="197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4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7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9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6">
        <f t="shared" si="48"/>
        <v>567828.21491337055</v>
      </c>
      <c r="O160" s="197">
        <f t="shared" si="39"/>
        <v>567828.21491337055</v>
      </c>
      <c r="P160" s="207">
        <f t="shared" si="49"/>
        <v>9930.836100337272</v>
      </c>
      <c r="Q160" s="194">
        <f>IFERROR(VLOOKUP(A160,[1]Energiindhold!$A$2:$C$11,3,FALSE),IFERROR(VLOOKUP(A160,[1]Biogasudbytte!$A$2:$B$18,2,FALSE)*[1]Energiindhold!$C$10,0))*O160</f>
        <v>1.0447329369137377</v>
      </c>
      <c r="R160" s="194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4">
        <f>IFERROR(VLOOKUP(A160,[1]Biogasudbytte!$A$2:$B$18,2,FALSE)*[1]Energiindhold!$C$10,0)*J160*IFERROR(VLOOKUP(A160,Biogasanlæg!$F$3:$G$8,2,FALSE),1)</f>
        <v>1.8271497070108039E-2</v>
      </c>
      <c r="T160" s="195">
        <f t="shared" si="50"/>
        <v>0</v>
      </c>
      <c r="U160" s="193">
        <f>O160*IFERROR(VLOOKUP(A160,[1]Tørstofindhold!A$2:B$25,2,FALSE),0)</f>
        <v>158991.90017574377</v>
      </c>
      <c r="V160" s="194">
        <f>IF(D160=År1,P160,SUM(O160,P160))*IFERROR(VLOOKUP(A160,[1]Tørstofindhold!A$2:B$25,2,FALSE),0)</f>
        <v>2780.6341080944362</v>
      </c>
      <c r="W160" s="194">
        <f>J160*IFERROR(VLOOKUP(A160,[1]Tørstofindhold!A$2:B$25,2,FALSE),0)</f>
        <v>2780.6341080944362</v>
      </c>
      <c r="X160" s="195">
        <f t="shared" si="51"/>
        <v>0</v>
      </c>
      <c r="Y160" s="173">
        <f t="shared" si="43"/>
        <v>0</v>
      </c>
      <c r="Z160" s="104">
        <f t="shared" si="44"/>
        <v>1</v>
      </c>
    </row>
    <row r="161" spans="1:26" hidden="1" x14ac:dyDescent="0.25">
      <c r="A161" s="196" t="s">
        <v>212</v>
      </c>
      <c r="B161" s="196"/>
      <c r="C161" s="196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6">
        <f t="shared" si="47"/>
        <v>2019</v>
      </c>
      <c r="E161" s="194" t="s">
        <v>25</v>
      </c>
      <c r="F161" s="197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4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7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9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6">
        <f t="shared" si="48"/>
        <v>0</v>
      </c>
      <c r="O161" s="197">
        <f t="shared" si="39"/>
        <v>0</v>
      </c>
      <c r="P161" s="207">
        <f t="shared" si="49"/>
        <v>0</v>
      </c>
      <c r="Q161" s="194">
        <f>IFERROR(VLOOKUP(A161,[1]Energiindhold!$A$2:$C$11,3,FALSE),IFERROR(VLOOKUP(A161,[1]Biogasudbytte!$A$2:$B$18,2,FALSE)*[1]Energiindhold!$C$10,0))*O161</f>
        <v>0</v>
      </c>
      <c r="R161" s="194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4">
        <f>IFERROR(VLOOKUP(A161,[1]Biogasudbytte!$A$2:$B$18,2,FALSE)*[1]Energiindhold!$C$10,0)*J161*IFERROR(VLOOKUP(A161,Biogasanlæg!$F$3:$G$8,2,FALSE),1)</f>
        <v>0</v>
      </c>
      <c r="T161" s="195">
        <f t="shared" si="50"/>
        <v>0</v>
      </c>
      <c r="U161" s="193">
        <f>O161*IFERROR(VLOOKUP(A161,[1]Tørstofindhold!A$2:B$25,2,FALSE),0)</f>
        <v>0</v>
      </c>
      <c r="V161" s="194">
        <f>IF(D161=År1,P161,SUM(O161,P161))*IFERROR(VLOOKUP(A161,[1]Tørstofindhold!A$2:B$25,2,FALSE),0)</f>
        <v>0</v>
      </c>
      <c r="W161" s="194">
        <f>J161*IFERROR(VLOOKUP(A161,[1]Tørstofindhold!A$2:B$25,2,FALSE),0)</f>
        <v>0</v>
      </c>
      <c r="X161" s="195">
        <f t="shared" si="51"/>
        <v>0</v>
      </c>
      <c r="Y161" s="173">
        <f t="shared" si="43"/>
        <v>0</v>
      </c>
      <c r="Z161" s="104">
        <f t="shared" si="44"/>
        <v>0</v>
      </c>
    </row>
    <row r="162" spans="1:26" x14ac:dyDescent="0.25">
      <c r="A162" s="196" t="s">
        <v>6</v>
      </c>
      <c r="B162" s="196"/>
      <c r="C162" s="196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6">
        <f t="shared" si="47"/>
        <v>2019</v>
      </c>
      <c r="E162" s="194" t="s">
        <v>25</v>
      </c>
      <c r="F162" s="197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4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7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9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6">
        <f t="shared" si="48"/>
        <v>-126804.69555271766</v>
      </c>
      <c r="O162" s="197">
        <f t="shared" si="39"/>
        <v>0</v>
      </c>
      <c r="P162" s="207">
        <f t="shared" si="49"/>
        <v>0</v>
      </c>
      <c r="Q162" s="194">
        <f>IFERROR(VLOOKUP(A162,[1]Energiindhold!$A$2:$C$11,3,FALSE),IFERROR(VLOOKUP(A162,[1]Biogasudbytte!$A$2:$B$18,2,FALSE)*[1]Energiindhold!$C$10,0))*O162</f>
        <v>0</v>
      </c>
      <c r="R162" s="194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4">
        <f>IFERROR(VLOOKUP(A162,[1]Biogasudbytte!$A$2:$B$18,2,FALSE)*[1]Energiindhold!$C$10,0)*J162*IFERROR(VLOOKUP(A162,Biogasanlæg!$F$3:$G$8,2,FALSE),1)</f>
        <v>0</v>
      </c>
      <c r="T162" s="195">
        <f t="shared" si="50"/>
        <v>0</v>
      </c>
      <c r="U162" s="193">
        <f>O162*IFERROR(VLOOKUP(A162,[1]Tørstofindhold!A$2:B$25,2,FALSE),0)</f>
        <v>0</v>
      </c>
      <c r="V162" s="194">
        <f>IF(D162=År1,P162,SUM(O162,P162))*IFERROR(VLOOKUP(A162,[1]Tørstofindhold!A$2:B$25,2,FALSE),0)</f>
        <v>0</v>
      </c>
      <c r="W162" s="194">
        <f>J162*IFERROR(VLOOKUP(A162,[1]Tørstofindhold!A$2:B$25,2,FALSE),0)</f>
        <v>0</v>
      </c>
      <c r="X162" s="195">
        <f t="shared" si="51"/>
        <v>0</v>
      </c>
      <c r="Y162" s="173">
        <f t="shared" si="43"/>
        <v>1</v>
      </c>
      <c r="Z162" s="104">
        <f t="shared" si="44"/>
        <v>0</v>
      </c>
    </row>
    <row r="163" spans="1:26" hidden="1" x14ac:dyDescent="0.25">
      <c r="A163" s="196" t="s">
        <v>69</v>
      </c>
      <c r="B163" s="196" t="s">
        <v>239</v>
      </c>
      <c r="C163" s="196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6">
        <f t="shared" si="47"/>
        <v>2019</v>
      </c>
      <c r="E163" s="194" t="s">
        <v>25</v>
      </c>
      <c r="F163" s="197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4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7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9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6">
        <f t="shared" si="48"/>
        <v>0</v>
      </c>
      <c r="O163" s="197">
        <f t="shared" si="39"/>
        <v>0</v>
      </c>
      <c r="P163" s="207">
        <f t="shared" si="49"/>
        <v>756970.00635565282</v>
      </c>
      <c r="Q163" s="194">
        <f>IFERROR(VLOOKUP(A163,[1]Energiindhold!$A$2:$C$11,3,FALSE),IFERROR(VLOOKUP(A163,[1]Biogasudbytte!$A$2:$B$18,2,FALSE)*[1]Energiindhold!$C$10,0))*O163</f>
        <v>0</v>
      </c>
      <c r="R163" s="194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4">
        <f>IFERROR(VLOOKUP(A163,[1]Biogasudbytte!$A$2:$B$18,2,FALSE)*[1]Energiindhold!$C$10,0)*J163*IFERROR(VLOOKUP(A163,Biogasanlæg!$F$3:$G$8,2,FALSE),1)</f>
        <v>0.13142610267053248</v>
      </c>
      <c r="T163" s="195">
        <f t="shared" si="50"/>
        <v>7.5882895761801983</v>
      </c>
      <c r="U163" s="193">
        <f>O163*IFERROR(VLOOKUP(A163,[1]Tørstofindhold!A$2:B$25,2,FALSE),0)</f>
        <v>0</v>
      </c>
      <c r="V163" s="194">
        <f>IF(D163=År1,P163,SUM(O163,P163))*IFERROR(VLOOKUP(A163,[1]Tørstofindhold!A$2:B$25,2,FALSE),0)</f>
        <v>643424.50540230493</v>
      </c>
      <c r="W163" s="194">
        <f>J163*IFERROR(VLOOKUP(A163,[1]Tørstofindhold!A$2:B$25,2,FALSE),0)</f>
        <v>19375.841164913018</v>
      </c>
      <c r="X163" s="195">
        <f t="shared" si="51"/>
        <v>624048.6642373919</v>
      </c>
      <c r="Y163" s="173">
        <f t="shared" si="43"/>
        <v>0</v>
      </c>
      <c r="Z163" s="104">
        <f t="shared" si="44"/>
        <v>0</v>
      </c>
    </row>
    <row r="164" spans="1:26" hidden="1" x14ac:dyDescent="0.25">
      <c r="A164" s="196" t="s">
        <v>169</v>
      </c>
      <c r="B164" s="196" t="s">
        <v>242</v>
      </c>
      <c r="C164" s="196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6">
        <f t="shared" si="47"/>
        <v>2019</v>
      </c>
      <c r="E164" s="194" t="s">
        <v>25</v>
      </c>
      <c r="F164" s="197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4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7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9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6">
        <f t="shared" si="48"/>
        <v>0</v>
      </c>
      <c r="O164" s="197">
        <f t="shared" si="39"/>
        <v>0</v>
      </c>
      <c r="P164" s="207">
        <f t="shared" si="49"/>
        <v>452346.51233766804</v>
      </c>
      <c r="Q164" s="194">
        <f>IFERROR(VLOOKUP(A164,[1]Energiindhold!$A$2:$C$11,3,FALSE),IFERROR(VLOOKUP(A164,[1]Biogasudbytte!$A$2:$B$18,2,FALSE)*[1]Energiindhold!$C$10,0))*O164</f>
        <v>0</v>
      </c>
      <c r="R164" s="194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4">
        <f>IFERROR(VLOOKUP(A164,[1]Biogasudbytte!$A$2:$B$18,2,FALSE)*[1]Energiindhold!$C$10,0)*J164*IFERROR(VLOOKUP(A164,Biogasanlæg!$F$3:$G$8,2,FALSE),1)</f>
        <v>6.0961032399995807E-5</v>
      </c>
      <c r="T164" s="195">
        <f t="shared" si="50"/>
        <v>8.0747487919351268</v>
      </c>
      <c r="U164" s="193">
        <f>O164*IFERROR(VLOOKUP(A164,[1]Tørstofindhold!A$2:B$25,2,FALSE),0)</f>
        <v>0</v>
      </c>
      <c r="V164" s="194">
        <f>IF(D164=År1,P164,SUM(O164,P164))*IFERROR(VLOOKUP(A164,[1]Tørstofindhold!A$2:B$25,2,FALSE),0)</f>
        <v>135703.9537013004</v>
      </c>
      <c r="W164" s="194">
        <f>J164*IFERROR(VLOOKUP(A164,[1]Tørstofindhold!A$2:B$25,2,FALSE),0)</f>
        <v>10.77005642876839</v>
      </c>
      <c r="X164" s="195">
        <f t="shared" si="51"/>
        <v>135693.18364487163</v>
      </c>
      <c r="Y164" s="173">
        <f t="shared" si="43"/>
        <v>0</v>
      </c>
      <c r="Z164" s="104">
        <f t="shared" si="44"/>
        <v>0</v>
      </c>
    </row>
    <row r="165" spans="1:26" hidden="1" x14ac:dyDescent="0.25">
      <c r="A165" s="194" t="s">
        <v>166</v>
      </c>
      <c r="B165" s="196"/>
      <c r="C165" s="196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6">
        <f t="shared" si="47"/>
        <v>2019</v>
      </c>
      <c r="E165" s="194" t="s">
        <v>25</v>
      </c>
      <c r="F165" s="197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4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7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9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6">
        <f t="shared" si="48"/>
        <v>-592646.72642582108</v>
      </c>
      <c r="O165" s="197">
        <f t="shared" si="39"/>
        <v>0</v>
      </c>
      <c r="P165" s="207">
        <f t="shared" si="49"/>
        <v>0</v>
      </c>
      <c r="Q165" s="194">
        <f>IFERROR(VLOOKUP(A165,[1]Energiindhold!$A$2:$C$11,3,FALSE),IFERROR(VLOOKUP(A165,[1]Biogasudbytte!$A$2:$B$18,2,FALSE)*[1]Energiindhold!$C$10,0))*O165</f>
        <v>0</v>
      </c>
      <c r="R165" s="194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4">
        <f>IFERROR(VLOOKUP(A165,[1]Biogasudbytte!$A$2:$B$18,2,FALSE)*[1]Energiindhold!$C$10,0)*J165*IFERROR(VLOOKUP(A165,Biogasanlæg!$F$3:$G$8,2,FALSE),1)</f>
        <v>0</v>
      </c>
      <c r="T165" s="195">
        <f t="shared" si="50"/>
        <v>0</v>
      </c>
      <c r="U165" s="193">
        <f>O165*IFERROR(VLOOKUP(A165,[1]Tørstofindhold!A$2:B$25,2,FALSE),0)</f>
        <v>0</v>
      </c>
      <c r="V165" s="194">
        <f>IF(D165=År1,P165,SUM(O165,P165))*IFERROR(VLOOKUP(A165,[1]Tørstofindhold!A$2:B$25,2,FALSE),0)</f>
        <v>0</v>
      </c>
      <c r="W165" s="194">
        <f>J165*IFERROR(VLOOKUP(A165,[1]Tørstofindhold!A$2:B$25,2,FALSE),0)</f>
        <v>0</v>
      </c>
      <c r="X165" s="195">
        <f t="shared" si="51"/>
        <v>0</v>
      </c>
      <c r="Y165" s="173">
        <f t="shared" si="43"/>
        <v>1</v>
      </c>
      <c r="Z165" s="104">
        <f t="shared" si="44"/>
        <v>0</v>
      </c>
    </row>
    <row r="166" spans="1:26" hidden="1" x14ac:dyDescent="0.25">
      <c r="A166" s="196" t="s">
        <v>105</v>
      </c>
      <c r="B166" s="196" t="s">
        <v>242</v>
      </c>
      <c r="C166" s="196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6">
        <f t="shared" si="47"/>
        <v>2019</v>
      </c>
      <c r="E166" s="194" t="s">
        <v>25</v>
      </c>
      <c r="F166" s="197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4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7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9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6">
        <f t="shared" si="48"/>
        <v>-79270.498677373223</v>
      </c>
      <c r="O166" s="197">
        <f t="shared" si="39"/>
        <v>0</v>
      </c>
      <c r="P166" s="207">
        <f t="shared" si="49"/>
        <v>279550.24796430691</v>
      </c>
      <c r="Q166" s="194">
        <f>IFERROR(VLOOKUP(A166,[1]Energiindhold!$A$2:$C$11,3,FALSE),IFERROR(VLOOKUP(A166,[1]Biogasudbytte!$A$2:$B$18,2,FALSE)*[1]Energiindhold!$C$10,0))*O166</f>
        <v>0</v>
      </c>
      <c r="R166" s="194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4">
        <f>IFERROR(VLOOKUP(A166,[1]Biogasudbytte!$A$2:$B$18,2,FALSE)*[1]Energiindhold!$C$10,0)*J166*IFERROR(VLOOKUP(A166,Biogasanlæg!$F$3:$G$8,2,FALSE),1)</f>
        <v>1.0901948093654197</v>
      </c>
      <c r="T166" s="195">
        <f t="shared" si="50"/>
        <v>0</v>
      </c>
      <c r="U166" s="193">
        <f>O166*IFERROR(VLOOKUP(A166,[1]Tørstofindhold!A$2:B$25,2,FALSE),0)</f>
        <v>0</v>
      </c>
      <c r="V166" s="194">
        <f>IF(D166=År1,P166,SUM(O166,P166))*IFERROR(VLOOKUP(A166,[1]Tørstofindhold!A$2:B$25,2,FALSE),0)</f>
        <v>117411.1041450089</v>
      </c>
      <c r="W166" s="194">
        <f>J166*IFERROR(VLOOKUP(A166,[1]Tørstofindhold!A$2:B$25,2,FALSE),0)</f>
        <v>117411.1041450089</v>
      </c>
      <c r="X166" s="195">
        <f t="shared" si="51"/>
        <v>0</v>
      </c>
      <c r="Y166" s="173">
        <f t="shared" si="43"/>
        <v>1</v>
      </c>
      <c r="Z166" s="104">
        <f t="shared" si="44"/>
        <v>0</v>
      </c>
    </row>
    <row r="167" spans="1:26" hidden="1" x14ac:dyDescent="0.25">
      <c r="A167" s="196" t="s">
        <v>57</v>
      </c>
      <c r="B167" s="196"/>
      <c r="C167" s="196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6">
        <f t="shared" si="47"/>
        <v>2019</v>
      </c>
      <c r="E167" s="194" t="s">
        <v>25</v>
      </c>
      <c r="F167" s="197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4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7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9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6">
        <f t="shared" si="48"/>
        <v>145851.60720031991</v>
      </c>
      <c r="O167" s="197">
        <f t="shared" si="39"/>
        <v>0</v>
      </c>
      <c r="P167" s="207">
        <f t="shared" si="49"/>
        <v>0</v>
      </c>
      <c r="Q167" s="194">
        <f>IFERROR(VLOOKUP(A167,[1]Energiindhold!$A$2:$C$11,3,FALSE),IFERROR(VLOOKUP(A167,[1]Biogasudbytte!$A$2:$B$18,2,FALSE)*[1]Energiindhold!$C$10,0))*O167</f>
        <v>0</v>
      </c>
      <c r="R167" s="194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4">
        <f>IFERROR(VLOOKUP(A167,[1]Biogasudbytte!$A$2:$B$18,2,FALSE)*[1]Energiindhold!$C$10,0)*J167*IFERROR(VLOOKUP(A167,Biogasanlæg!$F$3:$G$8,2,FALSE),1)</f>
        <v>0</v>
      </c>
      <c r="T167" s="195">
        <f t="shared" si="50"/>
        <v>0</v>
      </c>
      <c r="U167" s="193">
        <f>O167*IFERROR(VLOOKUP(A167,[1]Tørstofindhold!A$2:B$25,2,FALSE),0)</f>
        <v>0</v>
      </c>
      <c r="V167" s="194">
        <f>IF(D167=År1,P167,SUM(O167,P167))*IFERROR(VLOOKUP(A167,[1]Tørstofindhold!A$2:B$25,2,FALSE),0)</f>
        <v>0</v>
      </c>
      <c r="W167" s="194">
        <f>J167*IFERROR(VLOOKUP(A167,[1]Tørstofindhold!A$2:B$25,2,FALSE),0)</f>
        <v>0</v>
      </c>
      <c r="X167" s="195">
        <f t="shared" si="51"/>
        <v>0</v>
      </c>
      <c r="Y167" s="173">
        <f t="shared" si="43"/>
        <v>0</v>
      </c>
      <c r="Z167" s="104">
        <f t="shared" si="44"/>
        <v>1</v>
      </c>
    </row>
    <row r="168" spans="1:26" x14ac:dyDescent="0.25">
      <c r="A168" s="196" t="s">
        <v>12</v>
      </c>
      <c r="B168" s="196"/>
      <c r="C168" s="196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6">
        <f t="shared" si="47"/>
        <v>2019</v>
      </c>
      <c r="E168" s="194" t="s">
        <v>25</v>
      </c>
      <c r="F168" s="197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4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7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9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6">
        <f t="shared" si="48"/>
        <v>14492.735557536857</v>
      </c>
      <c r="O168" s="197">
        <f t="shared" si="39"/>
        <v>0</v>
      </c>
      <c r="P168" s="207">
        <f t="shared" si="49"/>
        <v>0</v>
      </c>
      <c r="Q168" s="194">
        <f>IFERROR(VLOOKUP(A168,[1]Energiindhold!$A$2:$C$11,3,FALSE),IFERROR(VLOOKUP(A168,[1]Biogasudbytte!$A$2:$B$18,2,FALSE)*[1]Energiindhold!$C$10,0))*O168</f>
        <v>0</v>
      </c>
      <c r="R168" s="194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4">
        <f>IFERROR(VLOOKUP(A168,[1]Biogasudbytte!$A$2:$B$18,2,FALSE)*[1]Energiindhold!$C$10,0)*J168*IFERROR(VLOOKUP(A168,Biogasanlæg!$F$3:$G$8,2,FALSE),1)</f>
        <v>0</v>
      </c>
      <c r="T168" s="195">
        <f t="shared" si="50"/>
        <v>0</v>
      </c>
      <c r="U168" s="193">
        <f>O168*IFERROR(VLOOKUP(A168,[1]Tørstofindhold!A$2:B$25,2,FALSE),0)</f>
        <v>0</v>
      </c>
      <c r="V168" s="194">
        <f>IF(D168=År1,P168,SUM(O168,P168))*IFERROR(VLOOKUP(A168,[1]Tørstofindhold!A$2:B$25,2,FALSE),0)</f>
        <v>0</v>
      </c>
      <c r="W168" s="194">
        <f>J168*IFERROR(VLOOKUP(A168,[1]Tørstofindhold!A$2:B$25,2,FALSE),0)</f>
        <v>0</v>
      </c>
      <c r="X168" s="195">
        <f t="shared" si="51"/>
        <v>0</v>
      </c>
      <c r="Y168" s="173">
        <f t="shared" si="43"/>
        <v>0</v>
      </c>
      <c r="Z168" s="104">
        <f t="shared" si="44"/>
        <v>1</v>
      </c>
    </row>
    <row r="169" spans="1:26" x14ac:dyDescent="0.25">
      <c r="A169" s="196" t="s">
        <v>49</v>
      </c>
      <c r="B169" s="196" t="s">
        <v>239</v>
      </c>
      <c r="C169" s="196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6">
        <f t="shared" si="47"/>
        <v>2019</v>
      </c>
      <c r="E169" s="194" t="s">
        <v>25</v>
      </c>
      <c r="F169" s="197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4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7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9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6">
        <f t="shared" si="48"/>
        <v>1309065.6209408126</v>
      </c>
      <c r="O169" s="197">
        <f t="shared" si="39"/>
        <v>1309065.6209408126</v>
      </c>
      <c r="P169" s="207">
        <f t="shared" si="49"/>
        <v>945.81467090137289</v>
      </c>
      <c r="Q169" s="194">
        <f>IFERROR(VLOOKUP(A169,[1]Energiindhold!$A$2:$C$11,3,FALSE),IFERROR(VLOOKUP(A169,[1]Biogasudbytte!$A$2:$B$18,2,FALSE)*[1]Energiindhold!$C$10,0))*O169</f>
        <v>4.4833664825353523</v>
      </c>
      <c r="R169" s="194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4">
        <f>IFERROR(VLOOKUP(A169,[1]Biogasudbytte!$A$2:$B$18,2,FALSE)*[1]Energiindhold!$C$10,0)*J169*IFERROR(VLOOKUP(A169,Biogasanlæg!$F$3:$G$8,2,FALSE),1)</f>
        <v>3.2392828337832764E-3</v>
      </c>
      <c r="T169" s="195">
        <f t="shared" si="50"/>
        <v>0</v>
      </c>
      <c r="U169" s="193">
        <f>O169*IFERROR(VLOOKUP(A169,[1]Tørstofindhold!A$2:B$25,2,FALSE),0)</f>
        <v>405810.34249165189</v>
      </c>
      <c r="V169" s="194">
        <f>IF(D169=År1,P169,SUM(O169,P169))*IFERROR(VLOOKUP(A169,[1]Tørstofindhold!A$2:B$25,2,FALSE),0)</f>
        <v>293.20254797942562</v>
      </c>
      <c r="W169" s="194">
        <f>J169*IFERROR(VLOOKUP(A169,[1]Tørstofindhold!A$2:B$25,2,FALSE),0)</f>
        <v>293.20254797942562</v>
      </c>
      <c r="X169" s="195">
        <f t="shared" si="51"/>
        <v>0</v>
      </c>
      <c r="Y169" s="173">
        <f t="shared" si="43"/>
        <v>0</v>
      </c>
      <c r="Z169" s="104">
        <f t="shared" si="44"/>
        <v>1</v>
      </c>
    </row>
    <row r="170" spans="1:26" hidden="1" x14ac:dyDescent="0.25">
      <c r="A170" s="196" t="s">
        <v>118</v>
      </c>
      <c r="B170" s="196"/>
      <c r="C170" s="196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6">
        <f t="shared" si="47"/>
        <v>2019</v>
      </c>
      <c r="E170" s="194" t="s">
        <v>25</v>
      </c>
      <c r="F170" s="197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4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7" t="e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#REF!</v>
      </c>
      <c r="L170" s="197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9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6" t="e">
        <f t="shared" ca="1" si="48"/>
        <v>#REF!</v>
      </c>
      <c r="O170" s="197">
        <f t="shared" si="39"/>
        <v>0</v>
      </c>
      <c r="P170" s="207">
        <f t="shared" si="49"/>
        <v>0</v>
      </c>
      <c r="Q170" s="194">
        <f>IFERROR(VLOOKUP(A170,[1]Energiindhold!$A$2:$C$11,3,FALSE),IFERROR(VLOOKUP(A170,[1]Biogasudbytte!$A$2:$B$18,2,FALSE)*[1]Energiindhold!$C$10,0))*O170</f>
        <v>0</v>
      </c>
      <c r="R170" s="194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4">
        <f>IFERROR(VLOOKUP(A170,[1]Biogasudbytte!$A$2:$B$18,2,FALSE)*[1]Energiindhold!$C$10,0)*J170*IFERROR(VLOOKUP(A170,Biogasanlæg!$F$3:$G$8,2,FALSE),1)</f>
        <v>0</v>
      </c>
      <c r="T170" s="195">
        <f t="shared" si="50"/>
        <v>0</v>
      </c>
      <c r="U170" s="193">
        <f>O170*IFERROR(VLOOKUP(A170,[1]Tørstofindhold!A$2:B$25,2,FALSE),0)</f>
        <v>0</v>
      </c>
      <c r="V170" s="194">
        <f>IF(D170=År1,P170,SUM(O170,P170))*IFERROR(VLOOKUP(A170,[1]Tørstofindhold!A$2:B$25,2,FALSE),0)</f>
        <v>0</v>
      </c>
      <c r="W170" s="194">
        <f>J170*IFERROR(VLOOKUP(A170,[1]Tørstofindhold!A$2:B$25,2,FALSE),0)</f>
        <v>0</v>
      </c>
      <c r="X170" s="195">
        <f t="shared" si="51"/>
        <v>0</v>
      </c>
      <c r="Y170" s="173" t="e">
        <f t="shared" ca="1" si="43"/>
        <v>#REF!</v>
      </c>
      <c r="Z170" s="104" t="e">
        <f t="shared" ca="1" si="44"/>
        <v>#REF!</v>
      </c>
    </row>
    <row r="171" spans="1:26" hidden="1" x14ac:dyDescent="0.25">
      <c r="A171" s="196" t="s">
        <v>142</v>
      </c>
      <c r="B171" s="196" t="s">
        <v>234</v>
      </c>
      <c r="C171" s="196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6">
        <f t="shared" si="47"/>
        <v>2019</v>
      </c>
      <c r="E171" s="194" t="s">
        <v>25</v>
      </c>
      <c r="F171" s="197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4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7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9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6">
        <f t="shared" si="48"/>
        <v>215473.21629047208</v>
      </c>
      <c r="O171" s="197">
        <f t="shared" si="39"/>
        <v>215473.21629047208</v>
      </c>
      <c r="P171" s="207">
        <f t="shared" si="49"/>
        <v>286645.05985025823</v>
      </c>
      <c r="Q171" s="194">
        <f>IFERROR(VLOOKUP(A171,[1]Energiindhold!$A$2:$C$11,3,FALSE),IFERROR(VLOOKUP(A171,[1]Biogasudbytte!$A$2:$B$18,2,FALSE)*[1]Energiindhold!$C$10,0))*O171</f>
        <v>0.10907038735407407</v>
      </c>
      <c r="R171" s="194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4">
        <f>IFERROR(VLOOKUP(A171,[1]Biogasudbytte!$A$2:$B$18,2,FALSE)*[1]Energiindhold!$C$10,0)*J171*IFERROR(VLOOKUP(A171,Biogasanlæg!$F$3:$G$8,2,FALSE),1)</f>
        <v>0.14509686284560222</v>
      </c>
      <c r="T171" s="195">
        <f t="shared" si="50"/>
        <v>0</v>
      </c>
      <c r="U171" s="193">
        <f>O171*IFERROR(VLOOKUP(A171,[1]Tørstofindhold!A$2:B$25,2,FALSE),0)</f>
        <v>16375.964438075878</v>
      </c>
      <c r="V171" s="194">
        <f>IF(D171=År1,P171,SUM(O171,P171))*IFERROR(VLOOKUP(A171,[1]Tørstofindhold!A$2:B$25,2,FALSE),0)</f>
        <v>21785.024548619625</v>
      </c>
      <c r="W171" s="194">
        <f>J171*IFERROR(VLOOKUP(A171,[1]Tørstofindhold!A$2:B$25,2,FALSE),0)</f>
        <v>21785.024548619625</v>
      </c>
      <c r="X171" s="195">
        <f t="shared" si="51"/>
        <v>0</v>
      </c>
      <c r="Y171" s="173">
        <f t="shared" si="43"/>
        <v>0</v>
      </c>
      <c r="Z171" s="104">
        <f t="shared" si="44"/>
        <v>1</v>
      </c>
    </row>
    <row r="172" spans="1:26" hidden="1" x14ac:dyDescent="0.25">
      <c r="A172" s="196" t="s">
        <v>111</v>
      </c>
      <c r="B172" s="196"/>
      <c r="C172" s="196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6">
        <f t="shared" si="47"/>
        <v>2019</v>
      </c>
      <c r="E172" s="194" t="s">
        <v>25</v>
      </c>
      <c r="F172" s="197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4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7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9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6">
        <f t="shared" si="48"/>
        <v>-70551.412916692323</v>
      </c>
      <c r="O172" s="197">
        <f t="shared" si="39"/>
        <v>0</v>
      </c>
      <c r="P172" s="207">
        <f t="shared" si="49"/>
        <v>0</v>
      </c>
      <c r="Q172" s="194">
        <f>IFERROR(VLOOKUP(A172,[1]Energiindhold!$A$2:$C$11,3,FALSE),IFERROR(VLOOKUP(A172,[1]Biogasudbytte!$A$2:$B$18,2,FALSE)*[1]Energiindhold!$C$10,0))*O172</f>
        <v>0</v>
      </c>
      <c r="R172" s="194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4">
        <f>IFERROR(VLOOKUP(A172,[1]Biogasudbytte!$A$2:$B$18,2,FALSE)*[1]Energiindhold!$C$10,0)*J172*IFERROR(VLOOKUP(A172,Biogasanlæg!$F$3:$G$8,2,FALSE),1)</f>
        <v>0</v>
      </c>
      <c r="T172" s="195">
        <f t="shared" si="50"/>
        <v>0</v>
      </c>
      <c r="U172" s="193">
        <f>O172*IFERROR(VLOOKUP(A172,[1]Tørstofindhold!A$2:B$25,2,FALSE),0)</f>
        <v>0</v>
      </c>
      <c r="V172" s="194">
        <f>IF(D172=År1,P172,SUM(O172,P172))*IFERROR(VLOOKUP(A172,[1]Tørstofindhold!A$2:B$25,2,FALSE),0)</f>
        <v>0</v>
      </c>
      <c r="W172" s="194">
        <f>J172*IFERROR(VLOOKUP(A172,[1]Tørstofindhold!A$2:B$25,2,FALSE),0)</f>
        <v>0</v>
      </c>
      <c r="X172" s="195">
        <f t="shared" si="51"/>
        <v>0</v>
      </c>
      <c r="Y172" s="173">
        <f t="shared" si="43"/>
        <v>0</v>
      </c>
      <c r="Z172" s="104">
        <f t="shared" si="44"/>
        <v>1</v>
      </c>
    </row>
    <row r="173" spans="1:26" hidden="1" x14ac:dyDescent="0.25">
      <c r="A173" s="194" t="s">
        <v>54</v>
      </c>
      <c r="B173" s="196" t="s">
        <v>236</v>
      </c>
      <c r="C173" s="196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6">
        <f t="shared" si="47"/>
        <v>2019</v>
      </c>
      <c r="E173" s="194" t="s">
        <v>25</v>
      </c>
      <c r="F173" s="197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4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7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9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6">
        <f t="shared" si="48"/>
        <v>-343401.0681058818</v>
      </c>
      <c r="O173" s="197">
        <f t="shared" si="39"/>
        <v>0</v>
      </c>
      <c r="P173" s="207">
        <f t="shared" si="49"/>
        <v>15204.565068438918</v>
      </c>
      <c r="Q173" s="194">
        <f>IFERROR(VLOOKUP(A173,[1]Energiindhold!$A$2:$C$11,3,FALSE),IFERROR(VLOOKUP(A173,[1]Biogasudbytte!$A$2:$B$18,2,FALSE)*[1]Energiindhold!$C$10,0))*O173</f>
        <v>0</v>
      </c>
      <c r="R173" s="194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4">
        <f>IFERROR(VLOOKUP(A173,[1]Biogasudbytte!$A$2:$B$18,2,FALSE)*[1]Energiindhold!$C$10,0)*J173*IFERROR(VLOOKUP(A173,Biogasanlæg!$F$3:$G$8,2,FALSE),1)</f>
        <v>5.4584388595695719E-2</v>
      </c>
      <c r="T173" s="195">
        <f t="shared" si="50"/>
        <v>0</v>
      </c>
      <c r="U173" s="193">
        <f>O173*IFERROR(VLOOKUP(A173,[1]Tørstofindhold!A$2:B$25,2,FALSE),0)</f>
        <v>0</v>
      </c>
      <c r="V173" s="194">
        <f>IF(D173=År1,P173,SUM(O173,P173))*IFERROR(VLOOKUP(A173,[1]Tørstofindhold!A$2:B$25,2,FALSE),0)</f>
        <v>4561.3695205316753</v>
      </c>
      <c r="W173" s="194">
        <f>J173*IFERROR(VLOOKUP(A173,[1]Tørstofindhold!A$2:B$25,2,FALSE),0)</f>
        <v>4561.3695205316753</v>
      </c>
      <c r="X173" s="195">
        <f t="shared" si="51"/>
        <v>0</v>
      </c>
      <c r="Y173" s="173">
        <f t="shared" si="43"/>
        <v>0</v>
      </c>
      <c r="Z173" s="104">
        <f t="shared" si="44"/>
        <v>1</v>
      </c>
    </row>
    <row r="174" spans="1:26" x14ac:dyDescent="0.25">
      <c r="A174" s="196" t="s">
        <v>119</v>
      </c>
      <c r="B174" s="196"/>
      <c r="C174" s="196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6">
        <f t="shared" si="47"/>
        <v>2019</v>
      </c>
      <c r="E174" s="194" t="s">
        <v>25</v>
      </c>
      <c r="F174" s="197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4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7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9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6">
        <f t="shared" si="48"/>
        <v>-166933.87454175885</v>
      </c>
      <c r="O174" s="197">
        <f t="shared" si="39"/>
        <v>0</v>
      </c>
      <c r="P174" s="207">
        <f t="shared" si="49"/>
        <v>0</v>
      </c>
      <c r="Q174" s="194">
        <f>IFERROR(VLOOKUP(A174,[1]Energiindhold!$A$2:$C$11,3,FALSE),IFERROR(VLOOKUP(A174,[1]Biogasudbytte!$A$2:$B$18,2,FALSE)*[1]Energiindhold!$C$10,0))*O174</f>
        <v>0</v>
      </c>
      <c r="R174" s="194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4">
        <f>IFERROR(VLOOKUP(A174,[1]Biogasudbytte!$A$2:$B$18,2,FALSE)*[1]Energiindhold!$C$10,0)*J174*IFERROR(VLOOKUP(A174,Biogasanlæg!$F$3:$G$8,2,FALSE),1)</f>
        <v>0</v>
      </c>
      <c r="T174" s="195">
        <f t="shared" si="50"/>
        <v>0</v>
      </c>
      <c r="U174" s="193">
        <f>O174*IFERROR(VLOOKUP(A174,[1]Tørstofindhold!A$2:B$25,2,FALSE),0)</f>
        <v>0</v>
      </c>
      <c r="V174" s="194">
        <f>IF(D174=År1,P174,SUM(O174,P174))*IFERROR(VLOOKUP(A174,[1]Tørstofindhold!A$2:B$25,2,FALSE),0)</f>
        <v>0</v>
      </c>
      <c r="W174" s="194">
        <f>J174*IFERROR(VLOOKUP(A174,[1]Tørstofindhold!A$2:B$25,2,FALSE),0)</f>
        <v>0</v>
      </c>
      <c r="X174" s="195">
        <f t="shared" si="51"/>
        <v>0</v>
      </c>
      <c r="Y174" s="173">
        <f t="shared" si="43"/>
        <v>0</v>
      </c>
      <c r="Z174" s="104">
        <f t="shared" si="44"/>
        <v>1</v>
      </c>
    </row>
    <row r="175" spans="1:26" hidden="1" x14ac:dyDescent="0.25">
      <c r="A175" s="196" t="s">
        <v>109</v>
      </c>
      <c r="B175" s="196" t="s">
        <v>238</v>
      </c>
      <c r="C175" s="196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6">
        <f t="shared" si="47"/>
        <v>2019</v>
      </c>
      <c r="E175" s="194" t="s">
        <v>25</v>
      </c>
      <c r="F175" s="197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4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7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9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6">
        <f t="shared" si="48"/>
        <v>1.1976865502381491</v>
      </c>
      <c r="O175" s="197">
        <f t="shared" si="39"/>
        <v>1.1976865502381491</v>
      </c>
      <c r="P175" s="207">
        <f t="shared" si="49"/>
        <v>0</v>
      </c>
      <c r="Q175" s="194">
        <f>IFERROR(VLOOKUP(A175,[1]Energiindhold!$A$2:$C$11,3,FALSE),IFERROR(VLOOKUP(A175,[1]Biogasudbytte!$A$2:$B$18,2,FALSE)*[1]Energiindhold!$C$10,0))*O175</f>
        <v>1.0749236788387388E-6</v>
      </c>
      <c r="R175" s="194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4">
        <f>IFERROR(VLOOKUP(A175,[1]Biogasudbytte!$A$2:$B$18,2,FALSE)*[1]Energiindhold!$C$10,0)*J175*IFERROR(VLOOKUP(A175,Biogasanlæg!$F$3:$G$8,2,FALSE),1)</f>
        <v>0</v>
      </c>
      <c r="T175" s="195">
        <f t="shared" si="50"/>
        <v>0</v>
      </c>
      <c r="U175" s="193">
        <f>O175*IFERROR(VLOOKUP(A175,[1]Tørstofindhold!A$2:B$25,2,FALSE),0)</f>
        <v>0.17965298253572234</v>
      </c>
      <c r="V175" s="194">
        <f>IF(D175=År1,P175,SUM(O175,P175))*IFERROR(VLOOKUP(A175,[1]Tørstofindhold!A$2:B$25,2,FALSE),0)</f>
        <v>0</v>
      </c>
      <c r="W175" s="194">
        <f>J175*IFERROR(VLOOKUP(A175,[1]Tørstofindhold!A$2:B$25,2,FALSE),0)</f>
        <v>0</v>
      </c>
      <c r="X175" s="195">
        <f t="shared" si="51"/>
        <v>0</v>
      </c>
      <c r="Y175" s="173">
        <f t="shared" si="43"/>
        <v>0</v>
      </c>
      <c r="Z175" s="104">
        <f t="shared" si="44"/>
        <v>1</v>
      </c>
    </row>
    <row r="176" spans="1:26" x14ac:dyDescent="0.25">
      <c r="A176" s="196" t="s">
        <v>14</v>
      </c>
      <c r="B176" s="196"/>
      <c r="C176" s="196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6">
        <f t="shared" si="47"/>
        <v>2019</v>
      </c>
      <c r="E176" s="194" t="s">
        <v>25</v>
      </c>
      <c r="F176" s="197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4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7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9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6">
        <f t="shared" si="48"/>
        <v>-41950.335705993944</v>
      </c>
      <c r="O176" s="197">
        <f t="shared" si="39"/>
        <v>0</v>
      </c>
      <c r="P176" s="207">
        <f t="shared" si="49"/>
        <v>0</v>
      </c>
      <c r="Q176" s="194">
        <f>IFERROR(VLOOKUP(A176,[1]Energiindhold!$A$2:$C$11,3,FALSE),IFERROR(VLOOKUP(A176,[1]Biogasudbytte!$A$2:$B$18,2,FALSE)*[1]Energiindhold!$C$10,0))*O176</f>
        <v>0</v>
      </c>
      <c r="R176" s="194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4">
        <f>IFERROR(VLOOKUP(A176,[1]Biogasudbytte!$A$2:$B$18,2,FALSE)*[1]Energiindhold!$C$10,0)*J176*IFERROR(VLOOKUP(A176,Biogasanlæg!$F$3:$G$8,2,FALSE),1)</f>
        <v>0</v>
      </c>
      <c r="T176" s="195">
        <f t="shared" si="50"/>
        <v>0</v>
      </c>
      <c r="U176" s="193">
        <f>O176*IFERROR(VLOOKUP(A176,[1]Tørstofindhold!A$2:B$25,2,FALSE),0)</f>
        <v>0</v>
      </c>
      <c r="V176" s="194">
        <f>IF(D176=År1,P176,SUM(O176,P176))*IFERROR(VLOOKUP(A176,[1]Tørstofindhold!A$2:B$25,2,FALSE),0)</f>
        <v>0</v>
      </c>
      <c r="W176" s="194">
        <f>J176*IFERROR(VLOOKUP(A176,[1]Tørstofindhold!A$2:B$25,2,FALSE),0)</f>
        <v>0</v>
      </c>
      <c r="X176" s="195">
        <f t="shared" si="51"/>
        <v>0</v>
      </c>
      <c r="Y176" s="173">
        <f t="shared" si="43"/>
        <v>0</v>
      </c>
      <c r="Z176" s="104">
        <f t="shared" si="44"/>
        <v>1</v>
      </c>
    </row>
    <row r="177" spans="1:26" hidden="1" x14ac:dyDescent="0.25">
      <c r="A177" s="196" t="s">
        <v>56</v>
      </c>
      <c r="B177" s="196"/>
      <c r="C177" s="196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6">
        <f t="shared" si="47"/>
        <v>2019</v>
      </c>
      <c r="E177" s="194" t="s">
        <v>25</v>
      </c>
      <c r="F177" s="197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4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7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9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6">
        <f t="shared" si="48"/>
        <v>396057.87190930446</v>
      </c>
      <c r="O177" s="197">
        <f t="shared" si="39"/>
        <v>0</v>
      </c>
      <c r="P177" s="207">
        <f t="shared" si="49"/>
        <v>0</v>
      </c>
      <c r="Q177" s="194">
        <f>IFERROR(VLOOKUP(A177,[1]Energiindhold!$A$2:$C$11,3,FALSE),IFERROR(VLOOKUP(A177,[1]Biogasudbytte!$A$2:$B$18,2,FALSE)*[1]Energiindhold!$C$10,0))*O177</f>
        <v>0</v>
      </c>
      <c r="R177" s="194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4">
        <f>IFERROR(VLOOKUP(A177,[1]Biogasudbytte!$A$2:$B$18,2,FALSE)*[1]Energiindhold!$C$10,0)*J177*IFERROR(VLOOKUP(A177,Biogasanlæg!$F$3:$G$8,2,FALSE),1)</f>
        <v>0</v>
      </c>
      <c r="T177" s="195">
        <f t="shared" si="50"/>
        <v>0</v>
      </c>
      <c r="U177" s="193">
        <f>O177*IFERROR(VLOOKUP(A177,[1]Tørstofindhold!A$2:B$25,2,FALSE),0)</f>
        <v>0</v>
      </c>
      <c r="V177" s="194">
        <f>IF(D177=År1,P177,SUM(O177,P177))*IFERROR(VLOOKUP(A177,[1]Tørstofindhold!A$2:B$25,2,FALSE),0)</f>
        <v>0</v>
      </c>
      <c r="W177" s="194">
        <f>J177*IFERROR(VLOOKUP(A177,[1]Tørstofindhold!A$2:B$25,2,FALSE),0)</f>
        <v>0</v>
      </c>
      <c r="X177" s="195">
        <f t="shared" si="51"/>
        <v>0</v>
      </c>
      <c r="Y177" s="173">
        <f t="shared" si="43"/>
        <v>0</v>
      </c>
      <c r="Z177" s="104">
        <f t="shared" si="44"/>
        <v>1</v>
      </c>
    </row>
    <row r="178" spans="1:26" hidden="1" x14ac:dyDescent="0.25">
      <c r="A178" s="196" t="s">
        <v>97</v>
      </c>
      <c r="B178" s="196" t="s">
        <v>237</v>
      </c>
      <c r="C178" s="196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6">
        <f t="shared" si="47"/>
        <v>2019</v>
      </c>
      <c r="E178" s="194" t="s">
        <v>25</v>
      </c>
      <c r="F178" s="197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4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7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9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6">
        <f t="shared" si="48"/>
        <v>0</v>
      </c>
      <c r="O178" s="197">
        <f t="shared" si="39"/>
        <v>0</v>
      </c>
      <c r="P178" s="207">
        <f t="shared" si="49"/>
        <v>37577.319945022478</v>
      </c>
      <c r="Q178" s="194">
        <f>IFERROR(VLOOKUP(A178,[1]Energiindhold!$A$2:$C$11,3,FALSE),IFERROR(VLOOKUP(A178,[1]Biogasudbytte!$A$2:$B$18,2,FALSE)*[1]Energiindhold!$C$10,0))*O178</f>
        <v>0</v>
      </c>
      <c r="R178" s="194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4">
        <f>IFERROR(VLOOKUP(A178,[1]Biogasudbytte!$A$2:$B$18,2,FALSE)*[1]Energiindhold!$C$10,0)*J178*IFERROR(VLOOKUP(A178,Biogasanlæg!$F$3:$G$8,2,FALSE),1)</f>
        <v>0</v>
      </c>
      <c r="T178" s="195">
        <f t="shared" si="50"/>
        <v>0.69142268698841347</v>
      </c>
      <c r="U178" s="193">
        <f>O178*IFERROR(VLOOKUP(A178,[1]Tørstofindhold!A$2:B$25,2,FALSE),0)</f>
        <v>0</v>
      </c>
      <c r="V178" s="194">
        <f>IF(D178=År1,P178,SUM(O178,P178))*IFERROR(VLOOKUP(A178,[1]Tørstofindhold!A$2:B$25,2,FALSE),0)</f>
        <v>15594.58777718433</v>
      </c>
      <c r="W178" s="194">
        <f>J178*IFERROR(VLOOKUP(A178,[1]Tørstofindhold!A$2:B$25,2,FALSE),0)</f>
        <v>0</v>
      </c>
      <c r="X178" s="195">
        <f t="shared" si="51"/>
        <v>15594.58777718433</v>
      </c>
      <c r="Y178" s="173">
        <f t="shared" si="43"/>
        <v>0</v>
      </c>
      <c r="Z178" s="104">
        <f t="shared" si="44"/>
        <v>0</v>
      </c>
    </row>
    <row r="179" spans="1:26" hidden="1" x14ac:dyDescent="0.25">
      <c r="A179" s="196" t="s">
        <v>336</v>
      </c>
      <c r="B179" s="196" t="s">
        <v>342</v>
      </c>
      <c r="C179" s="196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6">
        <f t="shared" si="47"/>
        <v>2019</v>
      </c>
      <c r="E179" s="194" t="s">
        <v>25</v>
      </c>
      <c r="F179" s="197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4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7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9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6">
        <f t="shared" ref="N179:N180" si="52">F179-SUM(G179:M179)</f>
        <v>0</v>
      </c>
      <c r="O179" s="197">
        <f t="shared" si="39"/>
        <v>0</v>
      </c>
      <c r="P179" s="207">
        <f t="shared" ref="P179:P180" si="53">SUM(J179,L179)</f>
        <v>0</v>
      </c>
      <c r="Q179" s="194">
        <f>IFERROR(VLOOKUP(A179,[1]Energiindhold!$A$2:$C$11,3,FALSE),IFERROR(VLOOKUP(A179,[1]Biogasudbytte!$A$2:$B$18,2,FALSE)*[1]Energiindhold!$C$10,0))*O179</f>
        <v>0</v>
      </c>
      <c r="R179" s="194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4">
        <f>IFERROR(VLOOKUP(A179,[1]Biogasudbytte!$A$2:$B$18,2,FALSE)*[1]Energiindhold!$C$10,0)*J179*IFERROR(VLOOKUP(A179,Biogasanlæg!$F$3:$G$8,2,FALSE),1)</f>
        <v>0</v>
      </c>
      <c r="T179" s="195">
        <f t="shared" ref="T179:T180" si="54">R179-S179</f>
        <v>0</v>
      </c>
      <c r="U179" s="193">
        <f>O179*IFERROR(VLOOKUP(A179,[1]Tørstofindhold!A$2:B$25,2,FALSE),0)</f>
        <v>0</v>
      </c>
      <c r="V179" s="194">
        <f>IF(D179=År1,P179,SUM(O179,P179))*IFERROR(VLOOKUP(A179,[1]Tørstofindhold!A$2:B$25,2,FALSE),0)</f>
        <v>0</v>
      </c>
      <c r="W179" s="194">
        <f>J179*IFERROR(VLOOKUP(A179,[1]Tørstofindhold!A$2:B$25,2,FALSE),0)</f>
        <v>0</v>
      </c>
      <c r="X179" s="195">
        <f t="shared" ref="X179:X180" si="55">V179-W179</f>
        <v>0</v>
      </c>
      <c r="Y179" s="173">
        <f t="shared" si="43"/>
        <v>0</v>
      </c>
      <c r="Z179" s="104">
        <f t="shared" si="44"/>
        <v>0</v>
      </c>
    </row>
    <row r="180" spans="1:26" hidden="1" x14ac:dyDescent="0.25">
      <c r="A180" s="196" t="s">
        <v>337</v>
      </c>
      <c r="B180" s="196" t="s">
        <v>342</v>
      </c>
      <c r="C180" s="196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6">
        <f t="shared" si="47"/>
        <v>2019</v>
      </c>
      <c r="E180" s="194" t="s">
        <v>25</v>
      </c>
      <c r="F180" s="197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4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7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9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6">
        <f t="shared" si="52"/>
        <v>0</v>
      </c>
      <c r="O180" s="197">
        <f t="shared" si="39"/>
        <v>0</v>
      </c>
      <c r="P180" s="207">
        <f t="shared" si="53"/>
        <v>0</v>
      </c>
      <c r="Q180" s="194">
        <f>IFERROR(VLOOKUP(A180,[1]Energiindhold!$A$2:$C$11,3,FALSE),IFERROR(VLOOKUP(A180,[1]Biogasudbytte!$A$2:$B$18,2,FALSE)*[1]Energiindhold!$C$10,0))*O180</f>
        <v>0</v>
      </c>
      <c r="R180" s="194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4">
        <f>IFERROR(VLOOKUP(A180,[1]Biogasudbytte!$A$2:$B$18,2,FALSE)*[1]Energiindhold!$C$10,0)*J180*IFERROR(VLOOKUP(A180,Biogasanlæg!$F$3:$G$8,2,FALSE),1)</f>
        <v>0</v>
      </c>
      <c r="T180" s="195">
        <f t="shared" si="54"/>
        <v>0</v>
      </c>
      <c r="U180" s="193">
        <f>O180*IFERROR(VLOOKUP(A180,[1]Tørstofindhold!A$2:B$25,2,FALSE),0)</f>
        <v>0</v>
      </c>
      <c r="V180" s="194">
        <f>IF(D180=År1,P180,SUM(O180,P180))*IFERROR(VLOOKUP(A180,[1]Tørstofindhold!A$2:B$25,2,FALSE),0)</f>
        <v>0</v>
      </c>
      <c r="W180" s="194">
        <f>J180*IFERROR(VLOOKUP(A180,[1]Tørstofindhold!A$2:B$25,2,FALSE),0)</f>
        <v>0</v>
      </c>
      <c r="X180" s="195">
        <f t="shared" si="55"/>
        <v>0</v>
      </c>
      <c r="Y180" s="173">
        <f t="shared" si="43"/>
        <v>0</v>
      </c>
      <c r="Z180" s="104">
        <f t="shared" si="44"/>
        <v>0</v>
      </c>
    </row>
    <row r="181" spans="1:26" hidden="1" x14ac:dyDescent="0.25">
      <c r="A181" s="196" t="s">
        <v>120</v>
      </c>
      <c r="B181" s="196"/>
      <c r="C181" s="196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6">
        <f t="shared" si="47"/>
        <v>2019</v>
      </c>
      <c r="E181" s="194" t="s">
        <v>25</v>
      </c>
      <c r="F181" s="197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4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7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9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6">
        <f t="shared" si="48"/>
        <v>346998.01962126989</v>
      </c>
      <c r="O181" s="197">
        <f t="shared" si="39"/>
        <v>0</v>
      </c>
      <c r="P181" s="207">
        <f t="shared" si="49"/>
        <v>0</v>
      </c>
      <c r="Q181" s="194">
        <f>IFERROR(VLOOKUP(A181,[1]Energiindhold!$A$2:$C$11,3,FALSE),IFERROR(VLOOKUP(A181,[1]Biogasudbytte!$A$2:$B$18,2,FALSE)*[1]Energiindhold!$C$10,0))*O181</f>
        <v>0</v>
      </c>
      <c r="R181" s="194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4">
        <f>IFERROR(VLOOKUP(A181,[1]Biogasudbytte!$A$2:$B$18,2,FALSE)*[1]Energiindhold!$C$10,0)*J181*IFERROR(VLOOKUP(A181,Biogasanlæg!$F$3:$G$8,2,FALSE),1)</f>
        <v>0</v>
      </c>
      <c r="T181" s="195">
        <f t="shared" si="50"/>
        <v>0</v>
      </c>
      <c r="U181" s="193">
        <f>O181*IFERROR(VLOOKUP(A181,[1]Tørstofindhold!A$2:B$25,2,FALSE),0)</f>
        <v>0</v>
      </c>
      <c r="V181" s="194">
        <f>IF(D181=År1,P181,SUM(O181,P181))*IFERROR(VLOOKUP(A181,[1]Tørstofindhold!A$2:B$25,2,FALSE),0)</f>
        <v>0</v>
      </c>
      <c r="W181" s="194">
        <f>J181*IFERROR(VLOOKUP(A181,[1]Tørstofindhold!A$2:B$25,2,FALSE),0)</f>
        <v>0</v>
      </c>
      <c r="X181" s="195">
        <f t="shared" si="51"/>
        <v>0</v>
      </c>
      <c r="Y181" s="173">
        <f t="shared" si="43"/>
        <v>0</v>
      </c>
      <c r="Z181" s="104">
        <f t="shared" si="44"/>
        <v>1</v>
      </c>
    </row>
    <row r="182" spans="1:26" hidden="1" x14ac:dyDescent="0.25">
      <c r="A182" s="194" t="s">
        <v>51</v>
      </c>
      <c r="B182" s="196"/>
      <c r="C182" s="196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6">
        <f t="shared" si="47"/>
        <v>2019</v>
      </c>
      <c r="E182" s="194" t="s">
        <v>25</v>
      </c>
      <c r="F182" s="197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4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7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9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6">
        <f t="shared" si="48"/>
        <v>0</v>
      </c>
      <c r="O182" s="197">
        <f t="shared" si="39"/>
        <v>0</v>
      </c>
      <c r="P182" s="207">
        <f t="shared" si="49"/>
        <v>0</v>
      </c>
      <c r="Q182" s="194">
        <f>IFERROR(VLOOKUP(A182,[1]Energiindhold!$A$2:$C$11,3,FALSE),IFERROR(VLOOKUP(A182,[1]Biogasudbytte!$A$2:$B$18,2,FALSE)*[1]Energiindhold!$C$10,0))*O182</f>
        <v>0</v>
      </c>
      <c r="R182" s="194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4">
        <f>IFERROR(VLOOKUP(A182,[1]Biogasudbytte!$A$2:$B$18,2,FALSE)*[1]Energiindhold!$C$10,0)*J182*IFERROR(VLOOKUP(A182,Biogasanlæg!$F$3:$G$8,2,FALSE),1)</f>
        <v>0</v>
      </c>
      <c r="T182" s="195">
        <f t="shared" si="50"/>
        <v>0</v>
      </c>
      <c r="U182" s="193">
        <f>O182*IFERROR(VLOOKUP(A182,[1]Tørstofindhold!A$2:B$25,2,FALSE),0)</f>
        <v>0</v>
      </c>
      <c r="V182" s="194">
        <f>IF(D182=År1,P182,SUM(O182,P182))*IFERROR(VLOOKUP(A182,[1]Tørstofindhold!A$2:B$25,2,FALSE),0)</f>
        <v>0</v>
      </c>
      <c r="W182" s="194">
        <f>J182*IFERROR(VLOOKUP(A182,[1]Tørstofindhold!A$2:B$25,2,FALSE),0)</f>
        <v>0</v>
      </c>
      <c r="X182" s="195">
        <f t="shared" si="51"/>
        <v>0</v>
      </c>
      <c r="Y182" s="173">
        <f t="shared" si="43"/>
        <v>0</v>
      </c>
      <c r="Z182" s="104">
        <f t="shared" si="44"/>
        <v>0</v>
      </c>
    </row>
    <row r="183" spans="1:26" hidden="1" x14ac:dyDescent="0.25">
      <c r="A183" s="194" t="s">
        <v>250</v>
      </c>
      <c r="B183" s="196"/>
      <c r="C183" s="196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6">
        <f t="shared" si="47"/>
        <v>2019</v>
      </c>
      <c r="E183" s="194" t="s">
        <v>25</v>
      </c>
      <c r="F183" s="197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4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7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9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6">
        <f t="shared" si="48"/>
        <v>70508.296689855866</v>
      </c>
      <c r="O183" s="197">
        <f t="shared" si="39"/>
        <v>0</v>
      </c>
      <c r="P183" s="207">
        <f t="shared" si="49"/>
        <v>0</v>
      </c>
      <c r="Q183" s="194">
        <f>IFERROR(VLOOKUP(A183,[1]Energiindhold!$A$2:$C$11,3,FALSE),IFERROR(VLOOKUP(A183,[1]Biogasudbytte!$A$2:$B$18,2,FALSE)*[1]Energiindhold!$C$10,0))*O183</f>
        <v>0</v>
      </c>
      <c r="R183" s="194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4">
        <f>IFERROR(VLOOKUP(A183,[1]Biogasudbytte!$A$2:$B$18,2,FALSE)*[1]Energiindhold!$C$10,0)*J183*IFERROR(VLOOKUP(A183,Biogasanlæg!$F$3:$G$8,2,FALSE),1)</f>
        <v>0</v>
      </c>
      <c r="T183" s="195">
        <f t="shared" si="50"/>
        <v>0</v>
      </c>
      <c r="U183" s="193">
        <f>O183*IFERROR(VLOOKUP(A183,[1]Tørstofindhold!A$2:B$25,2,FALSE),0)</f>
        <v>0</v>
      </c>
      <c r="V183" s="194">
        <f>IF(D183=År1,P183,SUM(O183,P183))*IFERROR(VLOOKUP(A183,[1]Tørstofindhold!A$2:B$25,2,FALSE),0)</f>
        <v>0</v>
      </c>
      <c r="W183" s="194">
        <f>J183*IFERROR(VLOOKUP(A183,[1]Tørstofindhold!A$2:B$25,2,FALSE),0)</f>
        <v>0</v>
      </c>
      <c r="X183" s="195">
        <f t="shared" si="51"/>
        <v>0</v>
      </c>
      <c r="Y183" s="173">
        <f t="shared" si="43"/>
        <v>0</v>
      </c>
      <c r="Z183" s="104">
        <f t="shared" si="44"/>
        <v>1</v>
      </c>
    </row>
    <row r="184" spans="1:26" hidden="1" x14ac:dyDescent="0.25">
      <c r="A184" s="194" t="s">
        <v>243</v>
      </c>
      <c r="B184" s="196" t="s">
        <v>243</v>
      </c>
      <c r="C184" s="196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6">
        <f t="shared" si="47"/>
        <v>2019</v>
      </c>
      <c r="E184" s="194" t="s">
        <v>25</v>
      </c>
      <c r="F184" s="197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4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7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61943.722362786721</v>
      </c>
      <c r="M184" s="159">
        <f>SUMIFS('Forbrug af biomasse'!E:E,'Forbrug af biomasse'!C:C,'Resultat-Produktion &amp; forbrug'!$A184,'Forbrug af biomasse'!D:D,'Resultat-Produktion &amp; forbrug'!$D184,'Forbrug af biomasse'!G:G,1,'Forbrug af biomasse'!B:B,$E184)</f>
        <v>0</v>
      </c>
      <c r="N184" s="206">
        <f t="shared" si="48"/>
        <v>0</v>
      </c>
      <c r="O184" s="197">
        <f t="shared" si="39"/>
        <v>0</v>
      </c>
      <c r="P184" s="207">
        <f t="shared" si="49"/>
        <v>61943.722362786721</v>
      </c>
      <c r="Q184" s="194">
        <f>IFERROR(VLOOKUP(A184,[1]Energiindhold!$A$2:$C$11,3,FALSE),IFERROR(VLOOKUP(A184,[1]Biogasudbytte!$A$2:$B$18,2,FALSE)*[1]Energiindhold!$C$10,0))*O184</f>
        <v>0</v>
      </c>
      <c r="R184" s="194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2.1680302826975351</v>
      </c>
      <c r="S184" s="194">
        <f>IFERROR(VLOOKUP(A184,[1]Biogasudbytte!$A$2:$B$18,2,FALSE)*[1]Energiindhold!$C$10,0)*J184*IFERROR(VLOOKUP(A184,Biogasanlæg!$F$3:$G$8,2,FALSE),1)</f>
        <v>0</v>
      </c>
      <c r="T184" s="195">
        <f t="shared" si="50"/>
        <v>2.1680302826975351</v>
      </c>
      <c r="U184" s="193">
        <f>O184*IFERROR(VLOOKUP(A184,[1]Tørstofindhold!A$2:B$25,2,FALSE),0)</f>
        <v>0</v>
      </c>
      <c r="V184" s="194">
        <f>IF(D184=År1,P184,SUM(O184,P184))*IFERROR(VLOOKUP(A184,[1]Tørstofindhold!A$2:B$25,2,FALSE),0)</f>
        <v>56368.787350135921</v>
      </c>
      <c r="W184" s="194">
        <f>J184*IFERROR(VLOOKUP(A184,[1]Tørstofindhold!A$2:B$25,2,FALSE),0)</f>
        <v>0</v>
      </c>
      <c r="X184" s="195">
        <f t="shared" si="51"/>
        <v>56368.787350135921</v>
      </c>
      <c r="Y184" s="173">
        <f t="shared" si="43"/>
        <v>0</v>
      </c>
      <c r="Z184" s="104">
        <f t="shared" si="44"/>
        <v>0</v>
      </c>
    </row>
    <row r="185" spans="1:26" hidden="1" x14ac:dyDescent="0.25">
      <c r="A185" s="194" t="s">
        <v>53</v>
      </c>
      <c r="B185" s="196" t="s">
        <v>236</v>
      </c>
      <c r="C185" s="196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6">
        <f t="shared" si="47"/>
        <v>2019</v>
      </c>
      <c r="E185" s="194" t="s">
        <v>25</v>
      </c>
      <c r="F185" s="197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4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7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9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6">
        <f t="shared" si="48"/>
        <v>2125183.9129647682</v>
      </c>
      <c r="O185" s="197">
        <f t="shared" si="39"/>
        <v>1656364.6415009145</v>
      </c>
      <c r="P185" s="207">
        <f t="shared" si="49"/>
        <v>24543.951075802775</v>
      </c>
      <c r="Q185" s="194">
        <f>IFERROR(VLOOKUP(A185,[1]Energiindhold!$A$2:$C$11,3,FALSE),IFERROR(VLOOKUP(A185,[1]Biogasudbytte!$A$2:$B$18,2,FALSE)*[1]Energiindhold!$C$10,0))*O185</f>
        <v>4.4954398916191423</v>
      </c>
      <c r="R185" s="194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4">
        <f>IFERROR(VLOOKUP(A185,[1]Biogasudbytte!$A$2:$B$18,2,FALSE)*[1]Energiindhold!$C$10,0)*J185*IFERROR(VLOOKUP(A185,Biogasanlæg!$F$3:$G$8,2,FALSE),1)</f>
        <v>6.6613264977771772E-2</v>
      </c>
      <c r="T185" s="195">
        <f t="shared" si="50"/>
        <v>0</v>
      </c>
      <c r="U185" s="193">
        <f>O185*IFERROR(VLOOKUP(A185,[1]Tørstofindhold!A$2:B$25,2,FALSE),0)</f>
        <v>331272.92830018292</v>
      </c>
      <c r="V185" s="194">
        <f>IF(D185=År1,P185,SUM(O185,P185))*IFERROR(VLOOKUP(A185,[1]Tørstofindhold!A$2:B$25,2,FALSE),0)</f>
        <v>4908.7902151605549</v>
      </c>
      <c r="W185" s="194">
        <f>J185*IFERROR(VLOOKUP(A185,[1]Tørstofindhold!A$2:B$25,2,FALSE),0)</f>
        <v>4908.7902151605549</v>
      </c>
      <c r="X185" s="195">
        <f t="shared" si="51"/>
        <v>0</v>
      </c>
      <c r="Y185" s="173">
        <f t="shared" si="43"/>
        <v>0</v>
      </c>
      <c r="Z185" s="104">
        <f t="shared" si="44"/>
        <v>1</v>
      </c>
    </row>
    <row r="186" spans="1:26" hidden="1" x14ac:dyDescent="0.25">
      <c r="A186" s="194" t="s">
        <v>124</v>
      </c>
      <c r="B186" s="196"/>
      <c r="C186" s="196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6">
        <f t="shared" si="47"/>
        <v>2019</v>
      </c>
      <c r="E186" s="194" t="s">
        <v>25</v>
      </c>
      <c r="F186" s="197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4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7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9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6">
        <f t="shared" si="48"/>
        <v>23179.475218292017</v>
      </c>
      <c r="O186" s="197">
        <f t="shared" si="39"/>
        <v>0</v>
      </c>
      <c r="P186" s="207">
        <f t="shared" si="49"/>
        <v>0</v>
      </c>
      <c r="Q186" s="194">
        <f>IFERROR(VLOOKUP(A186,[1]Energiindhold!$A$2:$C$11,3,FALSE),IFERROR(VLOOKUP(A186,[1]Biogasudbytte!$A$2:$B$18,2,FALSE)*[1]Energiindhold!$C$10,0))*O186</f>
        <v>0</v>
      </c>
      <c r="R186" s="194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4">
        <f>IFERROR(VLOOKUP(A186,[1]Biogasudbytte!$A$2:$B$18,2,FALSE)*[1]Energiindhold!$C$10,0)*J186*IFERROR(VLOOKUP(A186,Biogasanlæg!$F$3:$G$8,2,FALSE),1)</f>
        <v>0</v>
      </c>
      <c r="T186" s="195">
        <f t="shared" si="50"/>
        <v>0</v>
      </c>
      <c r="U186" s="193">
        <f>O186*IFERROR(VLOOKUP(A186,[1]Tørstofindhold!A$2:B$25,2,FALSE),0)</f>
        <v>0</v>
      </c>
      <c r="V186" s="194">
        <f>IF(D186=År1,P186,SUM(O186,P186))*IFERROR(VLOOKUP(A186,[1]Tørstofindhold!A$2:B$25,2,FALSE),0)</f>
        <v>0</v>
      </c>
      <c r="W186" s="194">
        <f>J186*IFERROR(VLOOKUP(A186,[1]Tørstofindhold!A$2:B$25,2,FALSE),0)</f>
        <v>0</v>
      </c>
      <c r="X186" s="195">
        <f t="shared" si="51"/>
        <v>0</v>
      </c>
      <c r="Y186" s="173">
        <f t="shared" si="43"/>
        <v>0</v>
      </c>
      <c r="Z186" s="104">
        <f t="shared" si="44"/>
        <v>1</v>
      </c>
    </row>
    <row r="187" spans="1:26" hidden="1" x14ac:dyDescent="0.25">
      <c r="A187" s="194" t="s">
        <v>110</v>
      </c>
      <c r="B187" s="196"/>
      <c r="C187" s="196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6">
        <f t="shared" si="47"/>
        <v>2019</v>
      </c>
      <c r="E187" s="194" t="s">
        <v>25</v>
      </c>
      <c r="F187" s="197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4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7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9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6">
        <f t="shared" si="48"/>
        <v>14085.970705770382</v>
      </c>
      <c r="O187" s="197">
        <f t="shared" si="39"/>
        <v>0</v>
      </c>
      <c r="P187" s="207">
        <f t="shared" si="49"/>
        <v>0</v>
      </c>
      <c r="Q187" s="194">
        <f>IFERROR(VLOOKUP(A187,[1]Energiindhold!$A$2:$C$11,3,FALSE),IFERROR(VLOOKUP(A187,[1]Biogasudbytte!$A$2:$B$18,2,FALSE)*[1]Energiindhold!$C$10,0))*O187</f>
        <v>0</v>
      </c>
      <c r="R187" s="194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4">
        <f>IFERROR(VLOOKUP(A187,[1]Biogasudbytte!$A$2:$B$18,2,FALSE)*[1]Energiindhold!$C$10,0)*J187*IFERROR(VLOOKUP(A187,Biogasanlæg!$F$3:$G$8,2,FALSE),1)</f>
        <v>0</v>
      </c>
      <c r="T187" s="195">
        <f t="shared" si="50"/>
        <v>0</v>
      </c>
      <c r="U187" s="193">
        <f>O187*IFERROR(VLOOKUP(A187,[1]Tørstofindhold!A$2:B$25,2,FALSE),0)</f>
        <v>0</v>
      </c>
      <c r="V187" s="194">
        <f>IF(D187=År1,P187,SUM(O187,P187))*IFERROR(VLOOKUP(A187,[1]Tørstofindhold!A$2:B$25,2,FALSE),0)</f>
        <v>0</v>
      </c>
      <c r="W187" s="194">
        <f>J187*IFERROR(VLOOKUP(A187,[1]Tørstofindhold!A$2:B$25,2,FALSE),0)</f>
        <v>0</v>
      </c>
      <c r="X187" s="195">
        <f t="shared" si="51"/>
        <v>0</v>
      </c>
      <c r="Y187" s="173">
        <f t="shared" si="43"/>
        <v>0</v>
      </c>
      <c r="Z187" s="104">
        <f t="shared" si="44"/>
        <v>1</v>
      </c>
    </row>
    <row r="188" spans="1:26" hidden="1" x14ac:dyDescent="0.25">
      <c r="A188" s="196" t="s">
        <v>146</v>
      </c>
      <c r="B188" s="196" t="s">
        <v>242</v>
      </c>
      <c r="C188" s="196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6">
        <f t="shared" si="47"/>
        <v>2019</v>
      </c>
      <c r="E188" s="194" t="s">
        <v>25</v>
      </c>
      <c r="F188" s="197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4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7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9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6">
        <f t="shared" si="48"/>
        <v>1978309.9489030582</v>
      </c>
      <c r="O188" s="197">
        <f t="shared" si="39"/>
        <v>1978309.9489030582</v>
      </c>
      <c r="P188" s="207">
        <f t="shared" si="49"/>
        <v>1208651.4125341829</v>
      </c>
      <c r="Q188" s="194">
        <f>IFERROR(VLOOKUP(A188,[1]Energiindhold!$A$2:$C$11,3,FALSE),IFERROR(VLOOKUP(A188,[1]Biogasudbytte!$A$2:$B$18,2,FALSE)*[1]Energiindhold!$C$10,0))*O188</f>
        <v>0.98719644760211522</v>
      </c>
      <c r="R188" s="194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4">
        <f>IFERROR(VLOOKUP(A188,[1]Biogasudbytte!$A$2:$B$18,2,FALSE)*[1]Energiindhold!$C$10,0)*J188*IFERROR(VLOOKUP(A188,Biogasanlæg!$F$3:$G$8,2,FALSE),1)</f>
        <v>0.60312914136868268</v>
      </c>
      <c r="T188" s="195">
        <f t="shared" si="50"/>
        <v>0</v>
      </c>
      <c r="U188" s="193">
        <f>O188*IFERROR(VLOOKUP(A188,[1]Tørstofindhold!A$2:B$25,2,FALSE),0)</f>
        <v>118698.59693418349</v>
      </c>
      <c r="V188" s="194">
        <f>IF(D188=År1,P188,SUM(O188,P188))*IFERROR(VLOOKUP(A188,[1]Tørstofindhold!A$2:B$25,2,FALSE),0)</f>
        <v>72519.084752050971</v>
      </c>
      <c r="W188" s="194">
        <f>J188*IFERROR(VLOOKUP(A188,[1]Tørstofindhold!A$2:B$25,2,FALSE),0)</f>
        <v>72519.084752050971</v>
      </c>
      <c r="X188" s="195">
        <f t="shared" si="51"/>
        <v>0</v>
      </c>
      <c r="Y188" s="173">
        <f t="shared" si="43"/>
        <v>0</v>
      </c>
      <c r="Z188" s="104">
        <f t="shared" si="44"/>
        <v>1</v>
      </c>
    </row>
    <row r="189" spans="1:26" hidden="1" x14ac:dyDescent="0.25">
      <c r="A189" s="196" t="s">
        <v>141</v>
      </c>
      <c r="B189" s="196" t="s">
        <v>234</v>
      </c>
      <c r="C189" s="196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6">
        <f t="shared" si="47"/>
        <v>2019</v>
      </c>
      <c r="E189" s="194" t="s">
        <v>25</v>
      </c>
      <c r="F189" s="197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4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7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9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6">
        <f t="shared" si="48"/>
        <v>0</v>
      </c>
      <c r="O189" s="197">
        <f t="shared" si="39"/>
        <v>0</v>
      </c>
      <c r="P189" s="207">
        <f t="shared" si="49"/>
        <v>380427.26035611134</v>
      </c>
      <c r="Q189" s="194">
        <f>IFERROR(VLOOKUP(A189,[1]Energiindhold!$A$2:$C$11,3,FALSE),IFERROR(VLOOKUP(A189,[1]Biogasudbytte!$A$2:$B$18,2,FALSE)*[1]Energiindhold!$C$10,0))*O189</f>
        <v>0</v>
      </c>
      <c r="R189" s="194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4">
        <f>IFERROR(VLOOKUP(A189,[1]Biogasudbytte!$A$2:$B$18,2,FALSE)*[1]Energiindhold!$C$10,0)*J189*IFERROR(VLOOKUP(A189,Biogasanlæg!$F$3:$G$8,2,FALSE),1)</f>
        <v>0.16388806376141279</v>
      </c>
      <c r="T189" s="195">
        <f t="shared" si="50"/>
        <v>0</v>
      </c>
      <c r="U189" s="193">
        <f>O189*IFERROR(VLOOKUP(A189,[1]Tørstofindhold!A$2:B$25,2,FALSE),0)</f>
        <v>0</v>
      </c>
      <c r="V189" s="194">
        <f>IF(D189=År1,P189,SUM(O189,P189))*IFERROR(VLOOKUP(A189,[1]Tørstofindhold!A$2:B$25,2,FALSE),0)</f>
        <v>19021.363017805568</v>
      </c>
      <c r="W189" s="194">
        <f>J189*IFERROR(VLOOKUP(A189,[1]Tørstofindhold!A$2:B$25,2,FALSE),0)</f>
        <v>19021.363017805568</v>
      </c>
      <c r="X189" s="195">
        <f t="shared" si="51"/>
        <v>0</v>
      </c>
      <c r="Y189" s="173">
        <f t="shared" si="43"/>
        <v>0</v>
      </c>
      <c r="Z189" s="104">
        <f t="shared" si="44"/>
        <v>0</v>
      </c>
    </row>
    <row r="190" spans="1:26" x14ac:dyDescent="0.25">
      <c r="A190" s="196" t="s">
        <v>13</v>
      </c>
      <c r="B190" s="196"/>
      <c r="C190" s="196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6">
        <f t="shared" si="47"/>
        <v>2019</v>
      </c>
      <c r="E190" s="194" t="s">
        <v>25</v>
      </c>
      <c r="F190" s="197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4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7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9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6">
        <f t="shared" si="48"/>
        <v>106195.08352871139</v>
      </c>
      <c r="O190" s="197">
        <f t="shared" si="39"/>
        <v>0</v>
      </c>
      <c r="P190" s="207">
        <f t="shared" si="49"/>
        <v>0</v>
      </c>
      <c r="Q190" s="194">
        <f>IFERROR(VLOOKUP(A190,[1]Energiindhold!$A$2:$C$11,3,FALSE),IFERROR(VLOOKUP(A190,[1]Biogasudbytte!$A$2:$B$18,2,FALSE)*[1]Energiindhold!$C$10,0))*O190</f>
        <v>0</v>
      </c>
      <c r="R190" s="194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4">
        <f>IFERROR(VLOOKUP(A190,[1]Biogasudbytte!$A$2:$B$18,2,FALSE)*[1]Energiindhold!$C$10,0)*J190*IFERROR(VLOOKUP(A190,Biogasanlæg!$F$3:$G$8,2,FALSE),1)</f>
        <v>0</v>
      </c>
      <c r="T190" s="195">
        <f t="shared" si="50"/>
        <v>0</v>
      </c>
      <c r="U190" s="193">
        <f>O190*IFERROR(VLOOKUP(A190,[1]Tørstofindhold!A$2:B$25,2,FALSE),0)</f>
        <v>0</v>
      </c>
      <c r="V190" s="194">
        <f>IF(D190=År1,P190,SUM(O190,P190))*IFERROR(VLOOKUP(A190,[1]Tørstofindhold!A$2:B$25,2,FALSE),0)</f>
        <v>0</v>
      </c>
      <c r="W190" s="194">
        <f>J190*IFERROR(VLOOKUP(A190,[1]Tørstofindhold!A$2:B$25,2,FALSE),0)</f>
        <v>0</v>
      </c>
      <c r="X190" s="195">
        <f t="shared" si="51"/>
        <v>0</v>
      </c>
      <c r="Y190" s="173">
        <f t="shared" si="43"/>
        <v>0</v>
      </c>
      <c r="Z190" s="104">
        <f t="shared" si="44"/>
        <v>1</v>
      </c>
    </row>
    <row r="191" spans="1:26" hidden="1" x14ac:dyDescent="0.25">
      <c r="A191" s="196" t="s">
        <v>101</v>
      </c>
      <c r="B191" s="196" t="s">
        <v>238</v>
      </c>
      <c r="C191" s="196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6">
        <f t="shared" si="47"/>
        <v>2019</v>
      </c>
      <c r="E191" s="194" t="s">
        <v>25</v>
      </c>
      <c r="F191" s="197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4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7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9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6">
        <f t="shared" si="48"/>
        <v>0</v>
      </c>
      <c r="O191" s="197">
        <f t="shared" si="39"/>
        <v>0</v>
      </c>
      <c r="P191" s="207">
        <f t="shared" si="49"/>
        <v>0</v>
      </c>
      <c r="Q191" s="194">
        <f>IFERROR(VLOOKUP(A191,[1]Energiindhold!$A$2:$C$11,3,FALSE),IFERROR(VLOOKUP(A191,[1]Biogasudbytte!$A$2:$B$18,2,FALSE)*[1]Energiindhold!$C$10,0))*O191</f>
        <v>0</v>
      </c>
      <c r="R191" s="194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4">
        <f>IFERROR(VLOOKUP(A191,[1]Biogasudbytte!$A$2:$B$18,2,FALSE)*[1]Energiindhold!$C$10,0)*J191*IFERROR(VLOOKUP(A191,Biogasanlæg!$F$3:$G$8,2,FALSE),1)</f>
        <v>0</v>
      </c>
      <c r="T191" s="195">
        <f t="shared" si="50"/>
        <v>0</v>
      </c>
      <c r="U191" s="193">
        <f>O191*IFERROR(VLOOKUP(A191,[1]Tørstofindhold!A$2:B$25,2,FALSE),0)</f>
        <v>0</v>
      </c>
      <c r="V191" s="194">
        <f>IF(D191=År1,P191,SUM(O191,P191))*IFERROR(VLOOKUP(A191,[1]Tørstofindhold!A$2:B$25,2,FALSE),0)</f>
        <v>0</v>
      </c>
      <c r="W191" s="194">
        <f>J191*IFERROR(VLOOKUP(A191,[1]Tørstofindhold!A$2:B$25,2,FALSE),0)</f>
        <v>0</v>
      </c>
      <c r="X191" s="195">
        <f t="shared" si="51"/>
        <v>0</v>
      </c>
      <c r="Y191" s="173">
        <f t="shared" si="43"/>
        <v>0</v>
      </c>
      <c r="Z191" s="104">
        <f t="shared" si="44"/>
        <v>1</v>
      </c>
    </row>
    <row r="192" spans="1:26" hidden="1" x14ac:dyDescent="0.25">
      <c r="A192" s="196" t="s">
        <v>106</v>
      </c>
      <c r="B192" s="196"/>
      <c r="C192" s="196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6">
        <f t="shared" si="47"/>
        <v>2019</v>
      </c>
      <c r="E192" s="194" t="s">
        <v>25</v>
      </c>
      <c r="F192" s="197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4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7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9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6">
        <f t="shared" si="48"/>
        <v>0</v>
      </c>
      <c r="O192" s="197">
        <f t="shared" si="39"/>
        <v>0</v>
      </c>
      <c r="P192" s="207">
        <f t="shared" si="49"/>
        <v>0</v>
      </c>
      <c r="Q192" s="194">
        <f>IFERROR(VLOOKUP(A192,[1]Energiindhold!$A$2:$C$11,3,FALSE),IFERROR(VLOOKUP(A192,[1]Biogasudbytte!$A$2:$B$18,2,FALSE)*[1]Energiindhold!$C$10,0))*O192</f>
        <v>0</v>
      </c>
      <c r="R192" s="194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4">
        <f>IFERROR(VLOOKUP(A192,[1]Biogasudbytte!$A$2:$B$18,2,FALSE)*[1]Energiindhold!$C$10,0)*J192*IFERROR(VLOOKUP(A192,Biogasanlæg!$F$3:$G$8,2,FALSE),1)</f>
        <v>0</v>
      </c>
      <c r="T192" s="195">
        <f t="shared" si="50"/>
        <v>0</v>
      </c>
      <c r="U192" s="193">
        <f>O192*IFERROR(VLOOKUP(A192,[1]Tørstofindhold!A$2:B$25,2,FALSE),0)</f>
        <v>0</v>
      </c>
      <c r="V192" s="194">
        <f>IF(D192=År1,P192,SUM(O192,P192))*IFERROR(VLOOKUP(A192,[1]Tørstofindhold!A$2:B$25,2,FALSE),0)</f>
        <v>0</v>
      </c>
      <c r="W192" s="194">
        <f>J192*IFERROR(VLOOKUP(A192,[1]Tørstofindhold!A$2:B$25,2,FALSE),0)</f>
        <v>0</v>
      </c>
      <c r="X192" s="195">
        <f t="shared" si="51"/>
        <v>0</v>
      </c>
      <c r="Y192" s="173">
        <f t="shared" si="43"/>
        <v>0</v>
      </c>
      <c r="Z192" s="104">
        <f t="shared" si="44"/>
        <v>0</v>
      </c>
    </row>
    <row r="193" spans="1:26" hidden="1" x14ac:dyDescent="0.25">
      <c r="A193" s="196" t="s">
        <v>122</v>
      </c>
      <c r="B193" s="196" t="s">
        <v>237</v>
      </c>
      <c r="C193" s="196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6">
        <f t="shared" si="47"/>
        <v>2019</v>
      </c>
      <c r="E193" s="194" t="s">
        <v>25</v>
      </c>
      <c r="F193" s="197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4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7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9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6">
        <f t="shared" si="48"/>
        <v>0</v>
      </c>
      <c r="O193" s="197">
        <f t="shared" si="39"/>
        <v>0</v>
      </c>
      <c r="P193" s="207">
        <f t="shared" si="49"/>
        <v>681602.85349434032</v>
      </c>
      <c r="Q193" s="194">
        <f>IFERROR(VLOOKUP(A193,[1]Energiindhold!$A$2:$C$11,3,FALSE),IFERROR(VLOOKUP(A193,[1]Biogasudbytte!$A$2:$B$18,2,FALSE)*[1]Energiindhold!$C$10,0))*O193</f>
        <v>0</v>
      </c>
      <c r="R193" s="194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4">
        <f>IFERROR(VLOOKUP(A193,[1]Biogasudbytte!$A$2:$B$18,2,FALSE)*[1]Energiindhold!$C$10,0)*J193*IFERROR(VLOOKUP(A193,Biogasanlæg!$F$3:$G$8,2,FALSE),1)</f>
        <v>0</v>
      </c>
      <c r="T193" s="195">
        <f t="shared" si="50"/>
        <v>9.878857920085288</v>
      </c>
      <c r="U193" s="193">
        <f>O193*IFERROR(VLOOKUP(A193,[1]Tørstofindhold!A$2:B$25,2,FALSE),0)</f>
        <v>0</v>
      </c>
      <c r="V193" s="194">
        <f>IF(D193=År1,P193,SUM(O193,P193))*IFERROR(VLOOKUP(A193,[1]Tørstofindhold!A$2:B$25,2,FALSE),0)</f>
        <v>337109.41129074246</v>
      </c>
      <c r="W193" s="194">
        <f>J193*IFERROR(VLOOKUP(A193,[1]Tørstofindhold!A$2:B$25,2,FALSE),0)</f>
        <v>0</v>
      </c>
      <c r="X193" s="195">
        <f t="shared" si="51"/>
        <v>337109.41129074246</v>
      </c>
      <c r="Y193" s="173">
        <f t="shared" si="43"/>
        <v>0</v>
      </c>
      <c r="Z193" s="104">
        <f t="shared" si="44"/>
        <v>0</v>
      </c>
    </row>
    <row r="194" spans="1:26" hidden="1" x14ac:dyDescent="0.25">
      <c r="A194" s="196" t="s">
        <v>121</v>
      </c>
      <c r="B194" s="196"/>
      <c r="C194" s="196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6">
        <f t="shared" si="47"/>
        <v>2019</v>
      </c>
      <c r="E194" s="194" t="s">
        <v>25</v>
      </c>
      <c r="F194" s="197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4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7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9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6">
        <f t="shared" si="48"/>
        <v>187413.07432328182</v>
      </c>
      <c r="O194" s="197">
        <f t="shared" si="39"/>
        <v>0</v>
      </c>
      <c r="P194" s="207">
        <f t="shared" si="49"/>
        <v>0</v>
      </c>
      <c r="Q194" s="194">
        <f>IFERROR(VLOOKUP(A194,[1]Energiindhold!$A$2:$C$11,3,FALSE),IFERROR(VLOOKUP(A194,[1]Biogasudbytte!$A$2:$B$18,2,FALSE)*[1]Energiindhold!$C$10,0))*O194</f>
        <v>0</v>
      </c>
      <c r="R194" s="194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4">
        <f>IFERROR(VLOOKUP(A194,[1]Biogasudbytte!$A$2:$B$18,2,FALSE)*[1]Energiindhold!$C$10,0)*J194*IFERROR(VLOOKUP(A194,Biogasanlæg!$F$3:$G$8,2,FALSE),1)</f>
        <v>0</v>
      </c>
      <c r="T194" s="195">
        <f t="shared" si="50"/>
        <v>0</v>
      </c>
      <c r="U194" s="193">
        <f>O194*IFERROR(VLOOKUP(A194,[1]Tørstofindhold!A$2:B$25,2,FALSE),0)</f>
        <v>0</v>
      </c>
      <c r="V194" s="194">
        <f>IF(D194=År1,P194,SUM(O194,P194))*IFERROR(VLOOKUP(A194,[1]Tørstofindhold!A$2:B$25,2,FALSE),0)</f>
        <v>0</v>
      </c>
      <c r="W194" s="194">
        <f>J194*IFERROR(VLOOKUP(A194,[1]Tørstofindhold!A$2:B$25,2,FALSE),0)</f>
        <v>0</v>
      </c>
      <c r="X194" s="195">
        <f t="shared" si="51"/>
        <v>0</v>
      </c>
      <c r="Y194" s="173">
        <f t="shared" si="43"/>
        <v>0</v>
      </c>
      <c r="Z194" s="104">
        <f t="shared" si="44"/>
        <v>1</v>
      </c>
    </row>
    <row r="195" spans="1:26" hidden="1" x14ac:dyDescent="0.25">
      <c r="A195" s="196" t="str">
        <f t="shared" ref="A195:A226" si="56">A147</f>
        <v>Æg</v>
      </c>
      <c r="B195" s="196" t="str">
        <f t="shared" ref="B195:B226" si="57">IF(B147&lt;&gt;"",B147,"")</f>
        <v/>
      </c>
      <c r="C195" s="196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6">
        <f t="shared" ref="D195:D242" si="58">År2</f>
        <v>2030</v>
      </c>
      <c r="E195" s="194" t="s">
        <v>25</v>
      </c>
      <c r="F195" s="197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6839.3191670250981</v>
      </c>
      <c r="G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4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7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9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6">
        <f t="shared" si="48"/>
        <v>-21370.020957603439</v>
      </c>
      <c r="O195" s="197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7">
        <f t="shared" si="49"/>
        <v>0</v>
      </c>
      <c r="Q195" s="194">
        <f>IFERROR(VLOOKUP(A195,[1]Energiindhold!$A$2:$C$11,3,FALSE),IFERROR(VLOOKUP(A195,[1]Biogasudbytte!$A$2:$B$18,2,FALSE)*[1]Energiindhold!$C$10,0))*O195</f>
        <v>0</v>
      </c>
      <c r="R195" s="194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4">
        <f>IFERROR(VLOOKUP(A195,[1]Biogasudbytte!$A$2:$B$18,2,FALSE)*[1]Energiindhold!$C$10,0)*J195*IFERROR(VLOOKUP(A195,Biogasanlæg!$F$3:$G$8,2,FALSE),1)</f>
        <v>0</v>
      </c>
      <c r="T195" s="195">
        <f t="shared" si="50"/>
        <v>0</v>
      </c>
      <c r="U195" s="193">
        <f>O195*IFERROR(VLOOKUP(A195,[1]Tørstofindhold!A$2:B$25,2,FALSE),0)</f>
        <v>0</v>
      </c>
      <c r="V195" s="194">
        <f>IF(D195=År1,P195,SUM(O195,P195))*IFERROR(VLOOKUP(A195,[1]Tørstofindhold!A$2:B$25,2,FALSE),0)</f>
        <v>0</v>
      </c>
      <c r="W195" s="194">
        <f>J195*IFERROR(VLOOKUP(A195,[1]Tørstofindhold!A$2:B$25,2,FALSE),0)</f>
        <v>0</v>
      </c>
      <c r="X195" s="195">
        <f t="shared" si="51"/>
        <v>0</v>
      </c>
      <c r="Y195" s="173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hidden="1" x14ac:dyDescent="0.25">
      <c r="A196" s="196" t="str">
        <f t="shared" si="56"/>
        <v>Bælgsæd</v>
      </c>
      <c r="B196" s="196" t="str">
        <f t="shared" si="57"/>
        <v/>
      </c>
      <c r="C196" s="196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6">
        <f t="shared" si="58"/>
        <v>2030</v>
      </c>
      <c r="E196" s="194" t="s">
        <v>25</v>
      </c>
      <c r="F196" s="197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21216.247725388857</v>
      </c>
      <c r="G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3958.3083768700485</v>
      </c>
      <c r="H196" s="194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94031.1337487618</v>
      </c>
      <c r="J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7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9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6">
        <f t="shared" si="48"/>
        <v>-76773.194400242995</v>
      </c>
      <c r="O196" s="197">
        <f t="shared" si="59"/>
        <v>0</v>
      </c>
      <c r="P196" s="207">
        <f t="shared" si="49"/>
        <v>0</v>
      </c>
      <c r="Q196" s="194">
        <f>IFERROR(VLOOKUP(A196,[1]Energiindhold!$A$2:$C$11,3,FALSE),IFERROR(VLOOKUP(A196,[1]Biogasudbytte!$A$2:$B$18,2,FALSE)*[1]Energiindhold!$C$10,0))*O196</f>
        <v>0</v>
      </c>
      <c r="R196" s="194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4">
        <f>IFERROR(VLOOKUP(A196,[1]Biogasudbytte!$A$2:$B$18,2,FALSE)*[1]Energiindhold!$C$10,0)*J196*IFERROR(VLOOKUP(A196,Biogasanlæg!$F$3:$G$8,2,FALSE),1)</f>
        <v>0</v>
      </c>
      <c r="T196" s="195">
        <f t="shared" si="50"/>
        <v>0</v>
      </c>
      <c r="U196" s="193">
        <f>O196*IFERROR(VLOOKUP(A196,[1]Tørstofindhold!A$2:B$25,2,FALSE),0)</f>
        <v>0</v>
      </c>
      <c r="V196" s="194">
        <f>IF(D196=År1,P196,SUM(O196,P196))*IFERROR(VLOOKUP(A196,[1]Tørstofindhold!A$2:B$25,2,FALSE),0)</f>
        <v>0</v>
      </c>
      <c r="W196" s="194">
        <f>J196*IFERROR(VLOOKUP(A196,[1]Tørstofindhold!A$2:B$25,2,FALSE),0)</f>
        <v>0</v>
      </c>
      <c r="X196" s="195">
        <f t="shared" si="51"/>
        <v>0</v>
      </c>
      <c r="Y196" s="173">
        <f t="shared" si="60"/>
        <v>0</v>
      </c>
      <c r="Z196" s="104">
        <f t="shared" si="61"/>
        <v>1</v>
      </c>
    </row>
    <row r="197" spans="1:26" hidden="1" x14ac:dyDescent="0.25">
      <c r="A197" s="196" t="str">
        <f t="shared" si="56"/>
        <v>Bioaffald</v>
      </c>
      <c r="B197" s="196" t="str">
        <f t="shared" si="57"/>
        <v>Bionedbrydeligt affald</v>
      </c>
      <c r="C197" s="196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6">
        <f t="shared" si="58"/>
        <v>2030</v>
      </c>
      <c r="E197" s="194" t="s">
        <v>25</v>
      </c>
      <c r="F197" s="197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0</v>
      </c>
      <c r="G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4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7" t="e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#REF!</v>
      </c>
      <c r="K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7" t="e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#REF!</v>
      </c>
      <c r="M197" s="159" t="e">
        <f ca="1">SUMIFS('Forbrug af biomasse'!E:E,'Forbrug af biomasse'!C:C,'Resultat-Produktion &amp; forbrug'!$A197,'Forbrug af biomasse'!D:D,'Resultat-Produktion &amp; forbrug'!$D197,'Forbrug af biomasse'!G:G,1,'Forbrug af biomasse'!B:B,$E197)</f>
        <v>#REF!</v>
      </c>
      <c r="N197" s="206" t="e">
        <f t="shared" ca="1" si="48"/>
        <v>#REF!</v>
      </c>
      <c r="O197" s="197" t="e">
        <f t="shared" ca="1" si="59"/>
        <v>#REF!</v>
      </c>
      <c r="P197" s="207" t="e">
        <f t="shared" ca="1" si="49"/>
        <v>#REF!</v>
      </c>
      <c r="Q197" s="194" t="e">
        <f ca="1">IFERROR(VLOOKUP(A197,[1]Energiindhold!$A$2:$C$11,3,FALSE),IFERROR(VLOOKUP(A197,[1]Biogasudbytte!$A$2:$B$18,2,FALSE)*[1]Energiindhold!$C$10,0))*O197</f>
        <v>#REF!</v>
      </c>
      <c r="R197" s="194" t="e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#REF!</v>
      </c>
      <c r="S197" s="194" t="e">
        <f ca="1">IFERROR(VLOOKUP(A197,[1]Biogasudbytte!$A$2:$B$18,2,FALSE)*[1]Energiindhold!$C$10,0)*J197*IFERROR(VLOOKUP(A197,Biogasanlæg!$F$3:$G$8,2,FALSE),1)</f>
        <v>#REF!</v>
      </c>
      <c r="T197" s="195" t="e">
        <f t="shared" ca="1" si="50"/>
        <v>#REF!</v>
      </c>
      <c r="U197" s="193" t="e">
        <f ca="1">O197*IFERROR(VLOOKUP(A197,[1]Tørstofindhold!A$2:B$25,2,FALSE),0)</f>
        <v>#REF!</v>
      </c>
      <c r="V197" s="194" t="e">
        <f ca="1">IF(D197=År1,P197,SUM(O197,P197))*IFERROR(VLOOKUP(A197,[1]Tørstofindhold!A$2:B$25,2,FALSE),0)</f>
        <v>#REF!</v>
      </c>
      <c r="W197" s="194" t="e">
        <f ca="1">J197*IFERROR(VLOOKUP(A197,[1]Tørstofindhold!A$2:B$25,2,FALSE),0)</f>
        <v>#REF!</v>
      </c>
      <c r="X197" s="195" t="e">
        <f t="shared" ca="1" si="51"/>
        <v>#REF!</v>
      </c>
      <c r="Y197" s="173" t="e">
        <f t="shared" ca="1" si="60"/>
        <v>#REF!</v>
      </c>
      <c r="Z197" s="104" t="e">
        <f t="shared" ca="1" si="61"/>
        <v>#REF!</v>
      </c>
    </row>
    <row r="198" spans="1:26" hidden="1" x14ac:dyDescent="0.25">
      <c r="A198" s="196" t="str">
        <f t="shared" si="56"/>
        <v>Biogas</v>
      </c>
      <c r="B198" s="196" t="str">
        <f t="shared" si="57"/>
        <v/>
      </c>
      <c r="C198" s="196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6">
        <f t="shared" si="58"/>
        <v>2030</v>
      </c>
      <c r="E198" s="194" t="s">
        <v>25</v>
      </c>
      <c r="F198" s="197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34271871.713504404</v>
      </c>
      <c r="G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4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7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34271871.713504404</v>
      </c>
      <c r="M198" s="159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6">
        <f t="shared" ca="1" si="48"/>
        <v>0</v>
      </c>
      <c r="O198" s="197">
        <f t="shared" ca="1" si="59"/>
        <v>0</v>
      </c>
      <c r="P198" s="207">
        <f t="shared" ca="1" si="49"/>
        <v>34271871.713504404</v>
      </c>
      <c r="Q198" s="194">
        <f ca="1">IFERROR(VLOOKUP(A198,[1]Energiindhold!$A$2:$C$11,3,FALSE),IFERROR(VLOOKUP(A198,[1]Biogasudbytte!$A$2:$B$18,2,FALSE)*[1]Energiindhold!$C$10,0))*O198</f>
        <v>0</v>
      </c>
      <c r="R198" s="194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4">
        <f>IFERROR(VLOOKUP(A198,[1]Biogasudbytte!$A$2:$B$18,2,FALSE)*[1]Energiindhold!$C$10,0)*J198*IFERROR(VLOOKUP(A198,Biogasanlæg!$F$3:$G$8,2,FALSE),1)</f>
        <v>0</v>
      </c>
      <c r="T198" s="195">
        <f t="shared" si="50"/>
        <v>0</v>
      </c>
      <c r="U198" s="193">
        <f ca="1">O198*IFERROR(VLOOKUP(A198,[1]Tørstofindhold!A$2:B$25,2,FALSE),0)</f>
        <v>0</v>
      </c>
      <c r="V198" s="194">
        <f ca="1">IF(D198=År1,P198,SUM(O198,P198))*IFERROR(VLOOKUP(A198,[1]Tørstofindhold!A$2:B$25,2,FALSE),0)</f>
        <v>0</v>
      </c>
      <c r="W198" s="194">
        <f>J198*IFERROR(VLOOKUP(A198,[1]Tørstofindhold!A$2:B$25,2,FALSE),0)</f>
        <v>0</v>
      </c>
      <c r="X198" s="195">
        <f t="shared" ca="1" si="51"/>
        <v>0</v>
      </c>
      <c r="Y198" s="173">
        <f t="shared" ca="1" si="60"/>
        <v>0</v>
      </c>
      <c r="Z198" s="104">
        <f t="shared" ca="1" si="61"/>
        <v>0</v>
      </c>
    </row>
    <row r="199" spans="1:26" hidden="1" x14ac:dyDescent="0.25">
      <c r="A199" s="196" t="str">
        <f t="shared" si="56"/>
        <v>Biogasgylle</v>
      </c>
      <c r="B199" s="196" t="str">
        <f t="shared" si="57"/>
        <v/>
      </c>
      <c r="C199" s="196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6">
        <f t="shared" si="58"/>
        <v>2030</v>
      </c>
      <c r="E199" s="194" t="s">
        <v>25</v>
      </c>
      <c r="F199" s="197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0</v>
      </c>
      <c r="G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4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7" t="e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#REF!</v>
      </c>
      <c r="L199" s="197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9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6" t="e">
        <f t="shared" ca="1" si="48"/>
        <v>#REF!</v>
      </c>
      <c r="O199" s="197">
        <f t="shared" si="59"/>
        <v>0</v>
      </c>
      <c r="P199" s="207">
        <f t="shared" si="49"/>
        <v>0</v>
      </c>
      <c r="Q199" s="194">
        <f>IFERROR(VLOOKUP(A199,[1]Energiindhold!$A$2:$C$11,3,FALSE),IFERROR(VLOOKUP(A199,[1]Biogasudbytte!$A$2:$B$18,2,FALSE)*[1]Energiindhold!$C$10,0))*O199</f>
        <v>0</v>
      </c>
      <c r="R199" s="194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4">
        <f>IFERROR(VLOOKUP(A199,[1]Biogasudbytte!$A$2:$B$18,2,FALSE)*[1]Energiindhold!$C$10,0)*J199*IFERROR(VLOOKUP(A199,Biogasanlæg!$F$3:$G$8,2,FALSE),1)</f>
        <v>0</v>
      </c>
      <c r="T199" s="195">
        <f t="shared" si="50"/>
        <v>0</v>
      </c>
      <c r="U199" s="193">
        <f>O199*IFERROR(VLOOKUP(A199,[1]Tørstofindhold!A$2:B$25,2,FALSE),0)</f>
        <v>0</v>
      </c>
      <c r="V199" s="194">
        <f>IF(D199=År1,P199,SUM(O199,P199))*IFERROR(VLOOKUP(A199,[1]Tørstofindhold!A$2:B$25,2,FALSE),0)</f>
        <v>0</v>
      </c>
      <c r="W199" s="194">
        <f>J199*IFERROR(VLOOKUP(A199,[1]Tørstofindhold!A$2:B$25,2,FALSE),0)</f>
        <v>0</v>
      </c>
      <c r="X199" s="195">
        <f t="shared" si="51"/>
        <v>0</v>
      </c>
      <c r="Y199" s="173" t="e">
        <f t="shared" ca="1" si="60"/>
        <v>#REF!</v>
      </c>
      <c r="Z199" s="104" t="e">
        <f t="shared" ca="1" si="61"/>
        <v>#REF!</v>
      </c>
    </row>
    <row r="200" spans="1:26" hidden="1" x14ac:dyDescent="0.25">
      <c r="A200" s="196" t="str">
        <f t="shared" si="56"/>
        <v>Brun saft</v>
      </c>
      <c r="B200" s="196" t="str">
        <f t="shared" si="57"/>
        <v>Bionedbrydeligt affald</v>
      </c>
      <c r="C200" s="196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6">
        <f t="shared" si="58"/>
        <v>2030</v>
      </c>
      <c r="E200" s="194" t="s">
        <v>25</v>
      </c>
      <c r="F200" s="197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232990.59266414485</v>
      </c>
      <c r="G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4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23299.059266414486</v>
      </c>
      <c r="K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7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9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6">
        <f t="shared" si="48"/>
        <v>209691.53339773035</v>
      </c>
      <c r="O200" s="197">
        <f t="shared" si="59"/>
        <v>209691.53339773035</v>
      </c>
      <c r="P200" s="207">
        <f t="shared" si="49"/>
        <v>23299.059266414486</v>
      </c>
      <c r="Q200" s="194">
        <f>IFERROR(VLOOKUP(A200,[1]Energiindhold!$A$2:$C$11,3,FALSE),IFERROR(VLOOKUP(A200,[1]Biogasudbytte!$A$2:$B$18,2,FALSE)*[1]Energiindhold!$C$10,0))*O200</f>
        <v>0.11911025908327566</v>
      </c>
      <c r="R200" s="194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0.13234473231475075</v>
      </c>
      <c r="S200" s="194">
        <f>IFERROR(VLOOKUP(A200,[1]Biogasudbytte!$A$2:$B$18,2,FALSE)*[1]Energiindhold!$C$10,0)*J200*IFERROR(VLOOKUP(A200,Biogasanlæg!$F$3:$G$8,2,FALSE),1)</f>
        <v>1.3234473231475075E-2</v>
      </c>
      <c r="T200" s="195">
        <f t="shared" si="50"/>
        <v>0.11911025908327567</v>
      </c>
      <c r="U200" s="193">
        <f>O200*IFERROR(VLOOKUP(A200,[1]Tørstofindhold!A$2:B$25,2,FALSE),0)</f>
        <v>8967.1203104174983</v>
      </c>
      <c r="V200" s="194">
        <f>IF(D200=År1,P200,SUM(O200,P200))*IFERROR(VLOOKUP(A200,[1]Tørstofindhold!A$2:B$25,2,FALSE),0)</f>
        <v>9963.4670115749996</v>
      </c>
      <c r="W200" s="194">
        <f>J200*IFERROR(VLOOKUP(A200,[1]Tørstofindhold!A$2:B$25,2,FALSE),0)</f>
        <v>996.34670115749998</v>
      </c>
      <c r="X200" s="195">
        <f t="shared" si="51"/>
        <v>8967.1203104175001</v>
      </c>
      <c r="Y200" s="173">
        <f t="shared" si="60"/>
        <v>0</v>
      </c>
      <c r="Z200" s="104">
        <f t="shared" si="61"/>
        <v>1</v>
      </c>
    </row>
    <row r="201" spans="1:26" hidden="1" x14ac:dyDescent="0.25">
      <c r="A201" s="196" t="str">
        <f t="shared" si="56"/>
        <v>Dybstrøelse</v>
      </c>
      <c r="B201" s="196" t="str">
        <f t="shared" si="57"/>
        <v>Husdyrgødning</v>
      </c>
      <c r="C201" s="196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6">
        <f t="shared" si="58"/>
        <v>2030</v>
      </c>
      <c r="E201" s="194" t="s">
        <v>25</v>
      </c>
      <c r="F201" s="197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265728.73054226203</v>
      </c>
      <c r="G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4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132864.36527113101</v>
      </c>
      <c r="K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50298.652566928169</v>
      </c>
      <c r="L201" s="197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9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6">
        <f t="shared" si="48"/>
        <v>82565.712704202859</v>
      </c>
      <c r="O201" s="197">
        <f t="shared" si="59"/>
        <v>82565.712704202859</v>
      </c>
      <c r="P201" s="207">
        <f t="shared" si="49"/>
        <v>132864.36527113101</v>
      </c>
      <c r="Q201" s="194">
        <f>IFERROR(VLOOKUP(A201,[1]Energiindhold!$A$2:$C$11,3,FALSE),IFERROR(VLOOKUP(A201,[1]Biogasudbytte!$A$2:$B$18,2,FALSE)*[1]Energiindhold!$C$10,0))*O201</f>
        <v>0.17784654516485296</v>
      </c>
      <c r="R201" s="194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0.46403638795886915</v>
      </c>
      <c r="S201" s="194">
        <f>IFERROR(VLOOKUP(A201,[1]Biogasudbytte!$A$2:$B$18,2,FALSE)*[1]Energiindhold!$C$10,0)*J201*IFERROR(VLOOKUP(A201,Biogasanlæg!$F$3:$G$8,2,FALSE),1)</f>
        <v>0.28618984279401621</v>
      </c>
      <c r="T201" s="195">
        <f t="shared" si="50"/>
        <v>0.17784654516485293</v>
      </c>
      <c r="U201" s="193">
        <f>O201*IFERROR(VLOOKUP(A201,[1]Tørstofindhold!A$2:B$25,2,FALSE),0)</f>
        <v>24769.713811260855</v>
      </c>
      <c r="V201" s="194">
        <f>IF(D201=År1,P201,SUM(O201,P201))*IFERROR(VLOOKUP(A201,[1]Tørstofindhold!A$2:B$25,2,FALSE),0)</f>
        <v>64629.02339260016</v>
      </c>
      <c r="W201" s="194">
        <f>J201*IFERROR(VLOOKUP(A201,[1]Tørstofindhold!A$2:B$25,2,FALSE),0)</f>
        <v>39859.309581339301</v>
      </c>
      <c r="X201" s="195">
        <f t="shared" si="51"/>
        <v>24769.713811260859</v>
      </c>
      <c r="Y201" s="173">
        <f t="shared" si="60"/>
        <v>0</v>
      </c>
      <c r="Z201" s="104">
        <f t="shared" si="61"/>
        <v>1</v>
      </c>
    </row>
    <row r="202" spans="1:26" hidden="1" x14ac:dyDescent="0.25">
      <c r="A202" s="196" t="str">
        <f t="shared" si="56"/>
        <v>Fiberfraktion</v>
      </c>
      <c r="B202" s="196" t="str">
        <f t="shared" si="57"/>
        <v/>
      </c>
      <c r="C202" s="196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6">
        <f t="shared" si="58"/>
        <v>2030</v>
      </c>
      <c r="E202" s="194" t="s">
        <v>25</v>
      </c>
      <c r="F202" s="197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164104.16254358823</v>
      </c>
      <c r="G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4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7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9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6">
        <f t="shared" si="48"/>
        <v>164104.16254358823</v>
      </c>
      <c r="O202" s="197">
        <f t="shared" si="59"/>
        <v>0</v>
      </c>
      <c r="P202" s="207">
        <f t="shared" si="49"/>
        <v>0</v>
      </c>
      <c r="Q202" s="194">
        <f>IFERROR(VLOOKUP(A202,[1]Energiindhold!$A$2:$C$11,3,FALSE),IFERROR(VLOOKUP(A202,[1]Biogasudbytte!$A$2:$B$18,2,FALSE)*[1]Energiindhold!$C$10,0))*O202</f>
        <v>0</v>
      </c>
      <c r="R202" s="194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4">
        <f>IFERROR(VLOOKUP(A202,[1]Biogasudbytte!$A$2:$B$18,2,FALSE)*[1]Energiindhold!$C$10,0)*J202*IFERROR(VLOOKUP(A202,Biogasanlæg!$F$3:$G$8,2,FALSE),1)</f>
        <v>0</v>
      </c>
      <c r="T202" s="195">
        <f t="shared" si="50"/>
        <v>0</v>
      </c>
      <c r="U202" s="193">
        <f>O202*IFERROR(VLOOKUP(A202,[1]Tørstofindhold!A$2:B$25,2,FALSE),0)</f>
        <v>0</v>
      </c>
      <c r="V202" s="194">
        <f>IF(D202=År1,P202,SUM(O202,P202))*IFERROR(VLOOKUP(A202,[1]Tørstofindhold!A$2:B$25,2,FALSE),0)</f>
        <v>0</v>
      </c>
      <c r="W202" s="194">
        <f>J202*IFERROR(VLOOKUP(A202,[1]Tørstofindhold!A$2:B$25,2,FALSE),0)</f>
        <v>0</v>
      </c>
      <c r="X202" s="195">
        <f t="shared" si="51"/>
        <v>0</v>
      </c>
      <c r="Y202" s="173">
        <f t="shared" si="60"/>
        <v>0</v>
      </c>
      <c r="Z202" s="104">
        <f t="shared" si="61"/>
        <v>1</v>
      </c>
    </row>
    <row r="203" spans="1:26" hidden="1" x14ac:dyDescent="0.25">
      <c r="A203" s="196" t="str">
        <f t="shared" si="56"/>
        <v>Fjerkrægylle</v>
      </c>
      <c r="B203" s="196" t="str">
        <f t="shared" si="57"/>
        <v>Husdyrgødning</v>
      </c>
      <c r="C203" s="196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6">
        <f t="shared" si="58"/>
        <v>2030</v>
      </c>
      <c r="E203" s="194" t="s">
        <v>25</v>
      </c>
      <c r="F203" s="197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454.56611706055151</v>
      </c>
      <c r="G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4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227.28305853027575</v>
      </c>
      <c r="K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172.0857443157802</v>
      </c>
      <c r="L203" s="197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9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6">
        <f t="shared" si="48"/>
        <v>55.197314214495577</v>
      </c>
      <c r="O203" s="197">
        <f t="shared" si="59"/>
        <v>55.197314214495577</v>
      </c>
      <c r="P203" s="207">
        <f t="shared" si="49"/>
        <v>227.28305853027575</v>
      </c>
      <c r="Q203" s="194">
        <f>IFERROR(VLOOKUP(A203,[1]Energiindhold!$A$2:$C$11,3,FALSE),IFERROR(VLOOKUP(A203,[1]Biogasudbytte!$A$2:$B$18,2,FALSE)*[1]Energiindhold!$C$10,0))*O203</f>
        <v>2.5958744901935126E-5</v>
      </c>
      <c r="R203" s="194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1.3284769449813851E-4</v>
      </c>
      <c r="S203" s="194">
        <f>IFERROR(VLOOKUP(A203,[1]Biogasudbytte!$A$2:$B$18,2,FALSE)*[1]Energiindhold!$C$10,0)*J203*IFERROR(VLOOKUP(A203,Biogasanlæg!$F$3:$G$8,2,FALSE),1)</f>
        <v>1.0688894959620338E-4</v>
      </c>
      <c r="T203" s="195">
        <f t="shared" si="50"/>
        <v>2.5958744901935122E-5</v>
      </c>
      <c r="U203" s="193">
        <f>O203*IFERROR(VLOOKUP(A203,[1]Tørstofindhold!A$2:B$25,2,FALSE),0)</f>
        <v>3.4774307955132215</v>
      </c>
      <c r="V203" s="194">
        <f>IF(D203=År1,P203,SUM(O203,P203))*IFERROR(VLOOKUP(A203,[1]Tørstofindhold!A$2:B$25,2,FALSE),0)</f>
        <v>17.796263482920594</v>
      </c>
      <c r="W203" s="194">
        <f>J203*IFERROR(VLOOKUP(A203,[1]Tørstofindhold!A$2:B$25,2,FALSE),0)</f>
        <v>14.318832687407372</v>
      </c>
      <c r="X203" s="195">
        <f t="shared" si="51"/>
        <v>3.4774307955132215</v>
      </c>
      <c r="Y203" s="173">
        <f t="shared" si="60"/>
        <v>0</v>
      </c>
      <c r="Z203" s="104">
        <f t="shared" si="61"/>
        <v>1</v>
      </c>
    </row>
    <row r="204" spans="1:26" hidden="1" x14ac:dyDescent="0.25">
      <c r="A204" s="196" t="str">
        <f t="shared" si="56"/>
        <v>Fjerkrækød</v>
      </c>
      <c r="B204" s="196" t="str">
        <f t="shared" si="57"/>
        <v/>
      </c>
      <c r="C204" s="196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6">
        <f t="shared" si="58"/>
        <v>2030</v>
      </c>
      <c r="E204" s="194" t="s">
        <v>25</v>
      </c>
      <c r="F204" s="197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4570.0262063523087</v>
      </c>
      <c r="G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4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15280.059234173792</v>
      </c>
      <c r="J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7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9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6">
        <f t="shared" si="48"/>
        <v>-10710.033027821482</v>
      </c>
      <c r="O204" s="197">
        <f t="shared" si="59"/>
        <v>0</v>
      </c>
      <c r="P204" s="207">
        <f t="shared" si="49"/>
        <v>0</v>
      </c>
      <c r="Q204" s="194">
        <f>IFERROR(VLOOKUP(A204,[1]Energiindhold!$A$2:$C$11,3,FALSE),IFERROR(VLOOKUP(A204,[1]Biogasudbytte!$A$2:$B$18,2,FALSE)*[1]Energiindhold!$C$10,0))*O204</f>
        <v>0</v>
      </c>
      <c r="R204" s="194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4">
        <f>IFERROR(VLOOKUP(A204,[1]Biogasudbytte!$A$2:$B$18,2,FALSE)*[1]Energiindhold!$C$10,0)*J204*IFERROR(VLOOKUP(A204,Biogasanlæg!$F$3:$G$8,2,FALSE),1)</f>
        <v>0</v>
      </c>
      <c r="T204" s="195">
        <f t="shared" si="50"/>
        <v>0</v>
      </c>
      <c r="U204" s="193">
        <f>O204*IFERROR(VLOOKUP(A204,[1]Tørstofindhold!A$2:B$25,2,FALSE),0)</f>
        <v>0</v>
      </c>
      <c r="V204" s="194">
        <f>IF(D204=År1,P204,SUM(O204,P204))*IFERROR(VLOOKUP(A204,[1]Tørstofindhold!A$2:B$25,2,FALSE),0)</f>
        <v>0</v>
      </c>
      <c r="W204" s="194">
        <f>J204*IFERROR(VLOOKUP(A204,[1]Tørstofindhold!A$2:B$25,2,FALSE),0)</f>
        <v>0</v>
      </c>
      <c r="X204" s="195">
        <f t="shared" si="51"/>
        <v>0</v>
      </c>
      <c r="Y204" s="173">
        <f t="shared" si="60"/>
        <v>0</v>
      </c>
      <c r="Z204" s="104">
        <f t="shared" si="61"/>
        <v>1</v>
      </c>
    </row>
    <row r="205" spans="1:26" hidden="1" x14ac:dyDescent="0.25">
      <c r="A205" s="196" t="str">
        <f t="shared" si="56"/>
        <v>Frø</v>
      </c>
      <c r="B205" s="196" t="str">
        <f t="shared" si="57"/>
        <v/>
      </c>
      <c r="C205" s="196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6">
        <f t="shared" si="58"/>
        <v>2030</v>
      </c>
      <c r="E205" s="194" t="s">
        <v>25</v>
      </c>
      <c r="F205" s="197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459859.53361816495</v>
      </c>
      <c r="G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4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7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9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6">
        <f t="shared" si="48"/>
        <v>459859.53361816495</v>
      </c>
      <c r="O205" s="197">
        <f t="shared" si="59"/>
        <v>0</v>
      </c>
      <c r="P205" s="207">
        <f t="shared" si="49"/>
        <v>0</v>
      </c>
      <c r="Q205" s="194">
        <f>IFERROR(VLOOKUP(A205,[1]Energiindhold!$A$2:$C$11,3,FALSE),IFERROR(VLOOKUP(A205,[1]Biogasudbytte!$A$2:$B$18,2,FALSE)*[1]Energiindhold!$C$10,0))*O205</f>
        <v>0</v>
      </c>
      <c r="R205" s="194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4">
        <f>IFERROR(VLOOKUP(A205,[1]Biogasudbytte!$A$2:$B$18,2,FALSE)*[1]Energiindhold!$C$10,0)*J205*IFERROR(VLOOKUP(A205,Biogasanlæg!$F$3:$G$8,2,FALSE),1)</f>
        <v>0</v>
      </c>
      <c r="T205" s="195">
        <f t="shared" si="50"/>
        <v>0</v>
      </c>
      <c r="U205" s="193">
        <f>O205*IFERROR(VLOOKUP(A205,[1]Tørstofindhold!A$2:B$25,2,FALSE),0)</f>
        <v>0</v>
      </c>
      <c r="V205" s="194">
        <f>IF(D205=År1,P205,SUM(O205,P205))*IFERROR(VLOOKUP(A205,[1]Tørstofindhold!A$2:B$25,2,FALSE),0)</f>
        <v>0</v>
      </c>
      <c r="W205" s="194">
        <f>J205*IFERROR(VLOOKUP(A205,[1]Tørstofindhold!A$2:B$25,2,FALSE),0)</f>
        <v>0</v>
      </c>
      <c r="X205" s="195">
        <f t="shared" si="51"/>
        <v>0</v>
      </c>
      <c r="Y205" s="173">
        <f t="shared" si="60"/>
        <v>0</v>
      </c>
      <c r="Z205" s="104">
        <f t="shared" si="61"/>
        <v>1</v>
      </c>
    </row>
    <row r="206" spans="1:26" hidden="1" x14ac:dyDescent="0.25">
      <c r="A206" s="196" t="str">
        <f t="shared" si="56"/>
        <v>Frugt</v>
      </c>
      <c r="B206" s="196" t="str">
        <f t="shared" si="57"/>
        <v/>
      </c>
      <c r="C206" s="196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6">
        <f t="shared" si="58"/>
        <v>2030</v>
      </c>
      <c r="E206" s="194" t="s">
        <v>25</v>
      </c>
      <c r="F206" s="197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155683.78957542713</v>
      </c>
      <c r="G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4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7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9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6">
        <f t="shared" si="48"/>
        <v>-67640.153077882162</v>
      </c>
      <c r="O206" s="197">
        <f t="shared" si="59"/>
        <v>0</v>
      </c>
      <c r="P206" s="207">
        <f t="shared" si="49"/>
        <v>0</v>
      </c>
      <c r="Q206" s="194">
        <f>IFERROR(VLOOKUP(A206,[1]Energiindhold!$A$2:$C$11,3,FALSE),IFERROR(VLOOKUP(A206,[1]Biogasudbytte!$A$2:$B$18,2,FALSE)*[1]Energiindhold!$C$10,0))*O206</f>
        <v>0</v>
      </c>
      <c r="R206" s="194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4">
        <f>IFERROR(VLOOKUP(A206,[1]Biogasudbytte!$A$2:$B$18,2,FALSE)*[1]Energiindhold!$C$10,0)*J206*IFERROR(VLOOKUP(A206,Biogasanlæg!$F$3:$G$8,2,FALSE),1)</f>
        <v>0</v>
      </c>
      <c r="T206" s="195">
        <f t="shared" si="50"/>
        <v>0</v>
      </c>
      <c r="U206" s="193">
        <f>O206*IFERROR(VLOOKUP(A206,[1]Tørstofindhold!A$2:B$25,2,FALSE),0)</f>
        <v>0</v>
      </c>
      <c r="V206" s="194">
        <f>IF(D206=År1,P206,SUM(O206,P206))*IFERROR(VLOOKUP(A206,[1]Tørstofindhold!A$2:B$25,2,FALSE),0)</f>
        <v>0</v>
      </c>
      <c r="W206" s="194">
        <f>J206*IFERROR(VLOOKUP(A206,[1]Tørstofindhold!A$2:B$25,2,FALSE),0)</f>
        <v>0</v>
      </c>
      <c r="X206" s="195">
        <f t="shared" si="51"/>
        <v>0</v>
      </c>
      <c r="Y206" s="173">
        <f t="shared" si="60"/>
        <v>1</v>
      </c>
      <c r="Z206" s="104">
        <f t="shared" si="61"/>
        <v>0</v>
      </c>
    </row>
    <row r="207" spans="1:26" hidden="1" x14ac:dyDescent="0.25">
      <c r="A207" s="196" t="str">
        <f t="shared" si="56"/>
        <v>Glycerin</v>
      </c>
      <c r="B207" s="196" t="str">
        <f t="shared" si="57"/>
        <v>Glycerin</v>
      </c>
      <c r="C207" s="196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6">
        <f t="shared" si="58"/>
        <v>2030</v>
      </c>
      <c r="E207" s="194" t="s">
        <v>25</v>
      </c>
      <c r="F207" s="197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4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0</v>
      </c>
      <c r="K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7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9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6">
        <f t="shared" si="48"/>
        <v>0</v>
      </c>
      <c r="O207" s="197">
        <f t="shared" si="59"/>
        <v>0</v>
      </c>
      <c r="P207" s="207">
        <f t="shared" si="49"/>
        <v>0</v>
      </c>
      <c r="Q207" s="194">
        <f>IFERROR(VLOOKUP(A207,[1]Energiindhold!$A$2:$C$11,3,FALSE),IFERROR(VLOOKUP(A207,[1]Biogasudbytte!$A$2:$B$18,2,FALSE)*[1]Energiindhold!$C$10,0))*O207</f>
        <v>0</v>
      </c>
      <c r="R207" s="194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</v>
      </c>
      <c r="S207" s="194">
        <f>IFERROR(VLOOKUP(A207,[1]Biogasudbytte!$A$2:$B$18,2,FALSE)*[1]Energiindhold!$C$10,0)*J207*IFERROR(VLOOKUP(A207,Biogasanlæg!$F$3:$G$8,2,FALSE),1)</f>
        <v>0</v>
      </c>
      <c r="T207" s="195">
        <f t="shared" si="50"/>
        <v>0</v>
      </c>
      <c r="U207" s="193">
        <f>O207*IFERROR(VLOOKUP(A207,[1]Tørstofindhold!A$2:B$25,2,FALSE),0)</f>
        <v>0</v>
      </c>
      <c r="V207" s="194">
        <f>IF(D207=År1,P207,SUM(O207,P207))*IFERROR(VLOOKUP(A207,[1]Tørstofindhold!A$2:B$25,2,FALSE),0)</f>
        <v>0</v>
      </c>
      <c r="W207" s="194">
        <f>J207*IFERROR(VLOOKUP(A207,[1]Tørstofindhold!A$2:B$25,2,FALSE),0)</f>
        <v>0</v>
      </c>
      <c r="X207" s="195">
        <f t="shared" si="51"/>
        <v>0</v>
      </c>
      <c r="Y207" s="173">
        <f t="shared" si="60"/>
        <v>0</v>
      </c>
      <c r="Z207" s="104">
        <f t="shared" si="61"/>
        <v>0</v>
      </c>
    </row>
    <row r="208" spans="1:26" hidden="1" x14ac:dyDescent="0.25">
      <c r="A208" s="196" t="str">
        <f t="shared" si="56"/>
        <v>Græs</v>
      </c>
      <c r="B208" s="196" t="str">
        <f t="shared" si="57"/>
        <v>Græs og urter</v>
      </c>
      <c r="C208" s="196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6">
        <f t="shared" si="58"/>
        <v>2030</v>
      </c>
      <c r="E208" s="194" t="s">
        <v>25</v>
      </c>
      <c r="F208" s="197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1666396.9094630885</v>
      </c>
      <c r="G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751034.03800585715</v>
      </c>
      <c r="H208" s="194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0</v>
      </c>
      <c r="K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7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9">
        <f>SUMIFS('Forbrug af biomasse'!E:E,'Forbrug af biomasse'!C:C,'Resultat-Produktion &amp; forbrug'!$A208,'Forbrug af biomasse'!D:D,'Resultat-Produktion &amp; forbrug'!$D208,'Forbrug af biomasse'!G:G,1,'Forbrug af biomasse'!B:B,$E208)</f>
        <v>476802.49130033312</v>
      </c>
      <c r="N208" s="206">
        <f t="shared" si="48"/>
        <v>438560.38015689817</v>
      </c>
      <c r="O208" s="197">
        <f t="shared" si="59"/>
        <v>438560.38015689817</v>
      </c>
      <c r="P208" s="207">
        <f t="shared" si="49"/>
        <v>0</v>
      </c>
      <c r="Q208" s="194">
        <f>IFERROR(VLOOKUP(A208,[1]Energiindhold!$A$2:$C$11,3,FALSE),IFERROR(VLOOKUP(A208,[1]Biogasudbytte!$A$2:$B$18,2,FALSE)*[1]Energiindhold!$C$10,0))*O208</f>
        <v>0.80689627944117304</v>
      </c>
      <c r="R208" s="194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0.80689627944117304</v>
      </c>
      <c r="S208" s="194">
        <f>IFERROR(VLOOKUP(A208,[1]Biogasudbytte!$A$2:$B$18,2,FALSE)*[1]Energiindhold!$C$10,0)*J208*IFERROR(VLOOKUP(A208,Biogasanlæg!$F$3:$G$8,2,FALSE),1)</f>
        <v>0</v>
      </c>
      <c r="T208" s="195">
        <f t="shared" si="50"/>
        <v>0.80689627944117304</v>
      </c>
      <c r="U208" s="193">
        <f>O208*IFERROR(VLOOKUP(A208,[1]Tørstofindhold!A$2:B$25,2,FALSE),0)</f>
        <v>122796.9064439315</v>
      </c>
      <c r="V208" s="194">
        <f>IF(D208=År1,P208,SUM(O208,P208))*IFERROR(VLOOKUP(A208,[1]Tørstofindhold!A$2:B$25,2,FALSE),0)</f>
        <v>122796.9064439315</v>
      </c>
      <c r="W208" s="194">
        <f>J208*IFERROR(VLOOKUP(A208,[1]Tørstofindhold!A$2:B$25,2,FALSE),0)</f>
        <v>0</v>
      </c>
      <c r="X208" s="195">
        <f t="shared" si="51"/>
        <v>122796.9064439315</v>
      </c>
      <c r="Y208" s="173">
        <f t="shared" si="60"/>
        <v>0</v>
      </c>
      <c r="Z208" s="104">
        <f t="shared" si="61"/>
        <v>1</v>
      </c>
    </row>
    <row r="209" spans="1:26" hidden="1" x14ac:dyDescent="0.25">
      <c r="A209" s="196" t="str">
        <f t="shared" si="56"/>
        <v>Græsprotein</v>
      </c>
      <c r="B209" s="196" t="str">
        <f t="shared" si="57"/>
        <v/>
      </c>
      <c r="C209" s="196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6">
        <f t="shared" si="58"/>
        <v>2030</v>
      </c>
      <c r="E209" s="194" t="s">
        <v>25</v>
      </c>
      <c r="F209" s="197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79707.736092599996</v>
      </c>
      <c r="G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79707.736092599996</v>
      </c>
      <c r="H209" s="194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7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9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6">
        <f t="shared" si="48"/>
        <v>0</v>
      </c>
      <c r="O209" s="197">
        <f t="shared" si="59"/>
        <v>0</v>
      </c>
      <c r="P209" s="207">
        <f t="shared" si="49"/>
        <v>0</v>
      </c>
      <c r="Q209" s="194">
        <f>IFERROR(VLOOKUP(A209,[1]Energiindhold!$A$2:$C$11,3,FALSE),IFERROR(VLOOKUP(A209,[1]Biogasudbytte!$A$2:$B$18,2,FALSE)*[1]Energiindhold!$C$10,0))*O209</f>
        <v>0</v>
      </c>
      <c r="R209" s="194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4">
        <f>IFERROR(VLOOKUP(A209,[1]Biogasudbytte!$A$2:$B$18,2,FALSE)*[1]Energiindhold!$C$10,0)*J209*IFERROR(VLOOKUP(A209,Biogasanlæg!$F$3:$G$8,2,FALSE),1)</f>
        <v>0</v>
      </c>
      <c r="T209" s="195">
        <f t="shared" si="50"/>
        <v>0</v>
      </c>
      <c r="U209" s="193">
        <f>O209*IFERROR(VLOOKUP(A209,[1]Tørstofindhold!A$2:B$25,2,FALSE),0)</f>
        <v>0</v>
      </c>
      <c r="V209" s="194">
        <f>IF(D209=År1,P209,SUM(O209,P209))*IFERROR(VLOOKUP(A209,[1]Tørstofindhold!A$2:B$25,2,FALSE),0)</f>
        <v>0</v>
      </c>
      <c r="W209" s="194">
        <f>J209*IFERROR(VLOOKUP(A209,[1]Tørstofindhold!A$2:B$25,2,FALSE),0)</f>
        <v>0</v>
      </c>
      <c r="X209" s="195">
        <f t="shared" si="51"/>
        <v>0</v>
      </c>
      <c r="Y209" s="173">
        <f t="shared" si="60"/>
        <v>0</v>
      </c>
      <c r="Z209" s="104">
        <f t="shared" si="61"/>
        <v>0</v>
      </c>
    </row>
    <row r="210" spans="1:26" hidden="1" x14ac:dyDescent="0.25">
      <c r="A210" s="196" t="str">
        <f t="shared" si="56"/>
        <v>Grøntsager</v>
      </c>
      <c r="B210" s="196" t="str">
        <f t="shared" si="57"/>
        <v/>
      </c>
      <c r="C210" s="196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6">
        <f t="shared" si="58"/>
        <v>2030</v>
      </c>
      <c r="E210" s="194" t="s">
        <v>25</v>
      </c>
      <c r="F210" s="197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76027.405090946413</v>
      </c>
      <c r="G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4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7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9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6">
        <f t="shared" si="48"/>
        <v>-157875.04010909857</v>
      </c>
      <c r="O210" s="197">
        <f t="shared" si="59"/>
        <v>0</v>
      </c>
      <c r="P210" s="207">
        <f t="shared" si="49"/>
        <v>0</v>
      </c>
      <c r="Q210" s="194">
        <f>IFERROR(VLOOKUP(A210,[1]Energiindhold!$A$2:$C$11,3,FALSE),IFERROR(VLOOKUP(A210,[1]Biogasudbytte!$A$2:$B$18,2,FALSE)*[1]Energiindhold!$C$10,0))*O210</f>
        <v>0</v>
      </c>
      <c r="R210" s="194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4">
        <f>IFERROR(VLOOKUP(A210,[1]Biogasudbytte!$A$2:$B$18,2,FALSE)*[1]Energiindhold!$C$10,0)*J210*IFERROR(VLOOKUP(A210,Biogasanlæg!$F$3:$G$8,2,FALSE),1)</f>
        <v>0</v>
      </c>
      <c r="T210" s="195">
        <f t="shared" si="50"/>
        <v>0</v>
      </c>
      <c r="U210" s="193">
        <f>O210*IFERROR(VLOOKUP(A210,[1]Tørstofindhold!A$2:B$25,2,FALSE),0)</f>
        <v>0</v>
      </c>
      <c r="V210" s="194">
        <f>IF(D210=År1,P210,SUM(O210,P210))*IFERROR(VLOOKUP(A210,[1]Tørstofindhold!A$2:B$25,2,FALSE),0)</f>
        <v>0</v>
      </c>
      <c r="W210" s="194">
        <f>J210*IFERROR(VLOOKUP(A210,[1]Tørstofindhold!A$2:B$25,2,FALSE),0)</f>
        <v>0</v>
      </c>
      <c r="X210" s="195">
        <f t="shared" si="51"/>
        <v>0</v>
      </c>
      <c r="Y210" s="173">
        <f t="shared" si="60"/>
        <v>0</v>
      </c>
      <c r="Z210" s="104">
        <f t="shared" si="61"/>
        <v>1</v>
      </c>
    </row>
    <row r="211" spans="1:26" hidden="1" x14ac:dyDescent="0.25">
      <c r="A211" s="196" t="str">
        <f t="shared" si="56"/>
        <v>Halm</v>
      </c>
      <c r="B211" s="196" t="str">
        <f t="shared" si="57"/>
        <v>Halm og strå</v>
      </c>
      <c r="C211" s="196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6">
        <f t="shared" si="58"/>
        <v>2030</v>
      </c>
      <c r="E211" s="194" t="s">
        <v>25</v>
      </c>
      <c r="F211" s="197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720937.14353414183</v>
      </c>
      <c r="G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47444.724017206274</v>
      </c>
      <c r="H211" s="194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49668.819226303865</v>
      </c>
      <c r="I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0</v>
      </c>
      <c r="K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7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623823.60029063176</v>
      </c>
      <c r="M211" s="159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6">
        <f t="shared" si="48"/>
        <v>0</v>
      </c>
      <c r="O211" s="197">
        <f t="shared" si="59"/>
        <v>0</v>
      </c>
      <c r="P211" s="207">
        <f t="shared" si="49"/>
        <v>623823.60029063176</v>
      </c>
      <c r="Q211" s="194">
        <f>IFERROR(VLOOKUP(A211,[1]Energiindhold!$A$2:$C$11,3,FALSE),IFERROR(VLOOKUP(A211,[1]Biogasudbytte!$A$2:$B$18,2,FALSE)*[1]Energiindhold!$C$10,0))*O211</f>
        <v>0</v>
      </c>
      <c r="R211" s="194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6.4477199223855344</v>
      </c>
      <c r="S211" s="194">
        <f>IFERROR(VLOOKUP(A211,[1]Biogasudbytte!$A$2:$B$18,2,FALSE)*[1]Energiindhold!$C$10,0)*J211*IFERROR(VLOOKUP(A211,Biogasanlæg!$F$3:$G$8,2,FALSE),1)</f>
        <v>0</v>
      </c>
      <c r="T211" s="195">
        <f t="shared" si="50"/>
        <v>6.4477199223855344</v>
      </c>
      <c r="U211" s="193">
        <f>O211*IFERROR(VLOOKUP(A211,[1]Tørstofindhold!A$2:B$25,2,FALSE),0)</f>
        <v>0</v>
      </c>
      <c r="V211" s="194">
        <f>IF(D211=År1,P211,SUM(O211,P211))*IFERROR(VLOOKUP(A211,[1]Tørstofindhold!A$2:B$25,2,FALSE),0)</f>
        <v>530250.06024703698</v>
      </c>
      <c r="W211" s="194">
        <f>J211*IFERROR(VLOOKUP(A211,[1]Tørstofindhold!A$2:B$25,2,FALSE),0)</f>
        <v>0</v>
      </c>
      <c r="X211" s="195">
        <f t="shared" si="51"/>
        <v>530250.06024703698</v>
      </c>
      <c r="Y211" s="173">
        <f t="shared" si="60"/>
        <v>0</v>
      </c>
      <c r="Z211" s="104">
        <f t="shared" si="61"/>
        <v>0</v>
      </c>
    </row>
    <row r="212" spans="1:26" hidden="1" x14ac:dyDescent="0.25">
      <c r="A212" s="196" t="str">
        <f t="shared" si="56"/>
        <v>Have/parkaffald</v>
      </c>
      <c r="B212" s="196" t="str">
        <f t="shared" si="57"/>
        <v>Bionedbrydeligt affald</v>
      </c>
      <c r="C212" s="196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6">
        <f t="shared" si="58"/>
        <v>2030</v>
      </c>
      <c r="E212" s="194" t="s">
        <v>25</v>
      </c>
      <c r="F212" s="197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4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0</v>
      </c>
      <c r="K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7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456074.89013160887</v>
      </c>
      <c r="M212" s="159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6">
        <f t="shared" si="48"/>
        <v>0</v>
      </c>
      <c r="O212" s="197">
        <f t="shared" si="59"/>
        <v>0</v>
      </c>
      <c r="P212" s="207">
        <f t="shared" si="49"/>
        <v>456074.89013160887</v>
      </c>
      <c r="Q212" s="194">
        <f>IFERROR(VLOOKUP(A212,[1]Energiindhold!$A$2:$C$11,3,FALSE),IFERROR(VLOOKUP(A212,[1]Biogasudbytte!$A$2:$B$18,2,FALSE)*[1]Energiindhold!$C$10,0))*O212</f>
        <v>0</v>
      </c>
      <c r="R212" s="194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8.1419495125715642</v>
      </c>
      <c r="S212" s="194">
        <f>IFERROR(VLOOKUP(A212,[1]Biogasudbytte!$A$2:$B$18,2,FALSE)*[1]Energiindhold!$C$10,0)*J212*IFERROR(VLOOKUP(A212,Biogasanlæg!$F$3:$G$8,2,FALSE),1)</f>
        <v>0</v>
      </c>
      <c r="T212" s="195">
        <f t="shared" si="50"/>
        <v>8.1419495125715642</v>
      </c>
      <c r="U212" s="193">
        <f>O212*IFERROR(VLOOKUP(A212,[1]Tørstofindhold!A$2:B$25,2,FALSE),0)</f>
        <v>0</v>
      </c>
      <c r="V212" s="194">
        <f>IF(D212=År1,P212,SUM(O212,P212))*IFERROR(VLOOKUP(A212,[1]Tørstofindhold!A$2:B$25,2,FALSE),0)</f>
        <v>136822.46703948267</v>
      </c>
      <c r="W212" s="194">
        <f>J212*IFERROR(VLOOKUP(A212,[1]Tørstofindhold!A$2:B$25,2,FALSE),0)</f>
        <v>0</v>
      </c>
      <c r="X212" s="195">
        <f t="shared" si="51"/>
        <v>136822.46703948267</v>
      </c>
      <c r="Y212" s="173">
        <f t="shared" si="60"/>
        <v>0</v>
      </c>
      <c r="Z212" s="104">
        <f t="shared" si="61"/>
        <v>0</v>
      </c>
    </row>
    <row r="213" spans="1:26" hidden="1" x14ac:dyDescent="0.25">
      <c r="A213" s="196" t="str">
        <f t="shared" si="56"/>
        <v>Import af foder</v>
      </c>
      <c r="B213" s="196" t="str">
        <f t="shared" si="57"/>
        <v/>
      </c>
      <c r="C213" s="196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6">
        <f t="shared" si="58"/>
        <v>2030</v>
      </c>
      <c r="E213" s="194" t="s">
        <v>25</v>
      </c>
      <c r="F213" s="197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0</v>
      </c>
      <c r="H213" s="194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7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9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6">
        <f t="shared" si="48"/>
        <v>0</v>
      </c>
      <c r="O213" s="197">
        <f t="shared" si="59"/>
        <v>0</v>
      </c>
      <c r="P213" s="207">
        <f t="shared" si="49"/>
        <v>0</v>
      </c>
      <c r="Q213" s="194">
        <f>IFERROR(VLOOKUP(A213,[1]Energiindhold!$A$2:$C$11,3,FALSE),IFERROR(VLOOKUP(A213,[1]Biogasudbytte!$A$2:$B$18,2,FALSE)*[1]Energiindhold!$C$10,0))*O213</f>
        <v>0</v>
      </c>
      <c r="R213" s="194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4">
        <f>IFERROR(VLOOKUP(A213,[1]Biogasudbytte!$A$2:$B$18,2,FALSE)*[1]Energiindhold!$C$10,0)*J213*IFERROR(VLOOKUP(A213,Biogasanlæg!$F$3:$G$8,2,FALSE),1)</f>
        <v>0</v>
      </c>
      <c r="T213" s="195">
        <f t="shared" si="50"/>
        <v>0</v>
      </c>
      <c r="U213" s="193">
        <f>O213*IFERROR(VLOOKUP(A213,[1]Tørstofindhold!A$2:B$25,2,FALSE),0)</f>
        <v>0</v>
      </c>
      <c r="V213" s="194">
        <f>IF(D213=År1,P213,SUM(O213,P213))*IFERROR(VLOOKUP(A213,[1]Tørstofindhold!A$2:B$25,2,FALSE),0)</f>
        <v>0</v>
      </c>
      <c r="W213" s="194">
        <f>J213*IFERROR(VLOOKUP(A213,[1]Tørstofindhold!A$2:B$25,2,FALSE),0)</f>
        <v>0</v>
      </c>
      <c r="X213" s="195">
        <f t="shared" si="51"/>
        <v>0</v>
      </c>
      <c r="Y213" s="173">
        <f t="shared" si="60"/>
        <v>0</v>
      </c>
      <c r="Z213" s="104">
        <f t="shared" si="61"/>
        <v>0</v>
      </c>
    </row>
    <row r="214" spans="1:26" hidden="1" x14ac:dyDescent="0.25">
      <c r="A214" s="196" t="str">
        <f t="shared" si="56"/>
        <v>Industriaffald</v>
      </c>
      <c r="B214" s="196" t="str">
        <f t="shared" si="57"/>
        <v>Bionedbrydeligt affald</v>
      </c>
      <c r="C214" s="196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6">
        <f t="shared" si="58"/>
        <v>2030</v>
      </c>
      <c r="E214" s="194" t="s">
        <v>25</v>
      </c>
      <c r="F214" s="197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182710.20154485604</v>
      </c>
      <c r="G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4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0</v>
      </c>
      <c r="K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7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9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6">
        <f t="shared" si="48"/>
        <v>182710.20154485604</v>
      </c>
      <c r="O214" s="197">
        <f t="shared" si="59"/>
        <v>182710.20154485604</v>
      </c>
      <c r="P214" s="207">
        <f t="shared" si="49"/>
        <v>0</v>
      </c>
      <c r="Q214" s="194">
        <f>IFERROR(VLOOKUP(A214,[1]Energiindhold!$A$2:$C$11,3,FALSE),IFERROR(VLOOKUP(A214,[1]Biogasudbytte!$A$2:$B$18,2,FALSE)*[1]Energiindhold!$C$10,0))*O214</f>
        <v>0.79170705562006216</v>
      </c>
      <c r="R214" s="194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0.79170705562006216</v>
      </c>
      <c r="S214" s="194">
        <f>IFERROR(VLOOKUP(A214,[1]Biogasudbytte!$A$2:$B$18,2,FALSE)*[1]Energiindhold!$C$10,0)*J214*IFERROR(VLOOKUP(A214,Biogasanlæg!$F$3:$G$8,2,FALSE),1)</f>
        <v>0</v>
      </c>
      <c r="T214" s="195">
        <f t="shared" si="50"/>
        <v>0.79170705562006216</v>
      </c>
      <c r="U214" s="193">
        <f>O214*IFERROR(VLOOKUP(A214,[1]Tørstofindhold!A$2:B$25,2,FALSE),0)</f>
        <v>76738.28464883953</v>
      </c>
      <c r="V214" s="194">
        <f>IF(D214=År1,P214,SUM(O214,P214))*IFERROR(VLOOKUP(A214,[1]Tørstofindhold!A$2:B$25,2,FALSE),0)</f>
        <v>76738.28464883953</v>
      </c>
      <c r="W214" s="194">
        <f>J214*IFERROR(VLOOKUP(A214,[1]Tørstofindhold!A$2:B$25,2,FALSE),0)</f>
        <v>0</v>
      </c>
      <c r="X214" s="195">
        <f t="shared" si="51"/>
        <v>76738.28464883953</v>
      </c>
      <c r="Y214" s="173">
        <f t="shared" si="60"/>
        <v>0</v>
      </c>
      <c r="Z214" s="104">
        <f t="shared" si="61"/>
        <v>1</v>
      </c>
    </row>
    <row r="215" spans="1:26" hidden="1" x14ac:dyDescent="0.25">
      <c r="A215" s="196" t="str">
        <f t="shared" si="56"/>
        <v>Juletræer</v>
      </c>
      <c r="B215" s="196" t="str">
        <f t="shared" si="57"/>
        <v/>
      </c>
      <c r="C215" s="196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6">
        <f t="shared" si="58"/>
        <v>2030</v>
      </c>
      <c r="E215" s="194" t="s">
        <v>25</v>
      </c>
      <c r="F215" s="197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114135.60173881784</v>
      </c>
      <c r="G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4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7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9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6">
        <f t="shared" si="48"/>
        <v>114135.60173881784</v>
      </c>
      <c r="O215" s="197">
        <f t="shared" si="59"/>
        <v>0</v>
      </c>
      <c r="P215" s="207">
        <f t="shared" si="49"/>
        <v>0</v>
      </c>
      <c r="Q215" s="194">
        <f>IFERROR(VLOOKUP(A215,[1]Energiindhold!$A$2:$C$11,3,FALSE),IFERROR(VLOOKUP(A215,[1]Biogasudbytte!$A$2:$B$18,2,FALSE)*[1]Energiindhold!$C$10,0))*O215</f>
        <v>0</v>
      </c>
      <c r="R215" s="194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4">
        <f>IFERROR(VLOOKUP(A215,[1]Biogasudbytte!$A$2:$B$18,2,FALSE)*[1]Energiindhold!$C$10,0)*J215*IFERROR(VLOOKUP(A215,Biogasanlæg!$F$3:$G$8,2,FALSE),1)</f>
        <v>0</v>
      </c>
      <c r="T215" s="195">
        <f t="shared" si="50"/>
        <v>0</v>
      </c>
      <c r="U215" s="193">
        <f>O215*IFERROR(VLOOKUP(A215,[1]Tørstofindhold!A$2:B$25,2,FALSE),0)</f>
        <v>0</v>
      </c>
      <c r="V215" s="194">
        <f>IF(D215=År1,P215,SUM(O215,P215))*IFERROR(VLOOKUP(A215,[1]Tørstofindhold!A$2:B$25,2,FALSE),0)</f>
        <v>0</v>
      </c>
      <c r="W215" s="194">
        <f>J215*IFERROR(VLOOKUP(A215,[1]Tørstofindhold!A$2:B$25,2,FALSE),0)</f>
        <v>0</v>
      </c>
      <c r="X215" s="195">
        <f t="shared" si="51"/>
        <v>0</v>
      </c>
      <c r="Y215" s="173">
        <f t="shared" si="60"/>
        <v>0</v>
      </c>
      <c r="Z215" s="104">
        <f t="shared" si="61"/>
        <v>1</v>
      </c>
    </row>
    <row r="216" spans="1:26" hidden="1" x14ac:dyDescent="0.25">
      <c r="A216" s="196" t="str">
        <f t="shared" si="56"/>
        <v>Kartofler</v>
      </c>
      <c r="B216" s="196" t="str">
        <f t="shared" si="57"/>
        <v/>
      </c>
      <c r="C216" s="196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6">
        <f t="shared" si="58"/>
        <v>2030</v>
      </c>
      <c r="E216" s="194" t="s">
        <v>25</v>
      </c>
      <c r="F216" s="197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90433.089420305812</v>
      </c>
      <c r="G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4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7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9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6">
        <f t="shared" ref="N216:N281" si="62">F216-SUM(G216:M216)</f>
        <v>-16527.325218910744</v>
      </c>
      <c r="O216" s="197">
        <f t="shared" si="59"/>
        <v>0</v>
      </c>
      <c r="P216" s="207">
        <f t="shared" ref="P216:P281" si="63">SUM(J216,L216)</f>
        <v>0</v>
      </c>
      <c r="Q216" s="194">
        <f>IFERROR(VLOOKUP(A216,[1]Energiindhold!$A$2:$C$11,3,FALSE),IFERROR(VLOOKUP(A216,[1]Biogasudbytte!$A$2:$B$18,2,FALSE)*[1]Energiindhold!$C$10,0))*O216</f>
        <v>0</v>
      </c>
      <c r="R216" s="194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4">
        <f>IFERROR(VLOOKUP(A216,[1]Biogasudbytte!$A$2:$B$18,2,FALSE)*[1]Energiindhold!$C$10,0)*J216*IFERROR(VLOOKUP(A216,Biogasanlæg!$F$3:$G$8,2,FALSE),1)</f>
        <v>0</v>
      </c>
      <c r="T216" s="195">
        <f t="shared" ref="T216:T281" si="64">R216-S216</f>
        <v>0</v>
      </c>
      <c r="U216" s="193">
        <f>O216*IFERROR(VLOOKUP(A216,[1]Tørstofindhold!A$2:B$25,2,FALSE),0)</f>
        <v>0</v>
      </c>
      <c r="V216" s="194">
        <f>IF(D216=År1,P216,SUM(O216,P216))*IFERROR(VLOOKUP(A216,[1]Tørstofindhold!A$2:B$25,2,FALSE),0)</f>
        <v>0</v>
      </c>
      <c r="W216" s="194">
        <f>J216*IFERROR(VLOOKUP(A216,[1]Tørstofindhold!A$2:B$25,2,FALSE),0)</f>
        <v>0</v>
      </c>
      <c r="X216" s="195">
        <f t="shared" ref="X216:X281" si="65">V216-W216</f>
        <v>0</v>
      </c>
      <c r="Y216" s="173">
        <f t="shared" si="60"/>
        <v>0</v>
      </c>
      <c r="Z216" s="104">
        <f t="shared" si="61"/>
        <v>1</v>
      </c>
    </row>
    <row r="217" spans="1:26" hidden="1" x14ac:dyDescent="0.25">
      <c r="A217" s="196" t="str">
        <f t="shared" si="56"/>
        <v>Korn</v>
      </c>
      <c r="B217" s="196" t="str">
        <f t="shared" si="57"/>
        <v>Halm og strå</v>
      </c>
      <c r="C217" s="196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6">
        <f t="shared" si="58"/>
        <v>2030</v>
      </c>
      <c r="E217" s="194" t="s">
        <v>25</v>
      </c>
      <c r="F217" s="197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1880453.021446147</v>
      </c>
      <c r="G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360810.80385275168</v>
      </c>
      <c r="H217" s="194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0</v>
      </c>
      <c r="K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7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9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6">
        <f>F217-SUM(G217:M217)</f>
        <v>1263407.3781280194</v>
      </c>
      <c r="O217" s="197">
        <f t="shared" si="59"/>
        <v>195159.40515559562</v>
      </c>
      <c r="P217" s="207">
        <f t="shared" si="63"/>
        <v>0</v>
      </c>
      <c r="Q217" s="194">
        <f>IFERROR(VLOOKUP(A217,[1]Energiindhold!$A$2:$C$11,3,FALSE),IFERROR(VLOOKUP(A217,[1]Biogasudbytte!$A$2:$B$18,2,FALSE)*[1]Energiindhold!$C$10,0))*O217</f>
        <v>0.66839364034119331</v>
      </c>
      <c r="R217" s="194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0.66839364034119331</v>
      </c>
      <c r="S217" s="194">
        <f>IFERROR(VLOOKUP(A217,[1]Biogasudbytte!$A$2:$B$18,2,FALSE)*[1]Energiindhold!$C$10,0)*J217*IFERROR(VLOOKUP(A217,Biogasanlæg!$F$3:$G$8,2,FALSE),1)</f>
        <v>0</v>
      </c>
      <c r="T217" s="195">
        <f t="shared" si="64"/>
        <v>0.66839364034119331</v>
      </c>
      <c r="U217" s="193">
        <f>O217*IFERROR(VLOOKUP(A217,[1]Tørstofindhold!A$2:B$25,2,FALSE),0)</f>
        <v>60499.415598234642</v>
      </c>
      <c r="V217" s="194">
        <f>IF(D217=År1,P217,SUM(O217,P217))*IFERROR(VLOOKUP(A217,[1]Tørstofindhold!A$2:B$25,2,FALSE),0)</f>
        <v>60499.415598234642</v>
      </c>
      <c r="W217" s="194">
        <f>J217*IFERROR(VLOOKUP(A217,[1]Tørstofindhold!A$2:B$25,2,FALSE),0)</f>
        <v>0</v>
      </c>
      <c r="X217" s="195">
        <f t="shared" si="65"/>
        <v>60499.415598234642</v>
      </c>
      <c r="Y217" s="173">
        <f t="shared" si="60"/>
        <v>0</v>
      </c>
      <c r="Z217" s="104">
        <f t="shared" si="61"/>
        <v>1</v>
      </c>
    </row>
    <row r="218" spans="1:26" hidden="1" x14ac:dyDescent="0.25">
      <c r="A218" s="196" t="str">
        <f t="shared" si="56"/>
        <v>Kunstgødning</v>
      </c>
      <c r="B218" s="196" t="str">
        <f t="shared" si="57"/>
        <v/>
      </c>
      <c r="C218" s="196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6">
        <f t="shared" si="58"/>
        <v>2030</v>
      </c>
      <c r="E218" s="194" t="s">
        <v>25</v>
      </c>
      <c r="F218" s="197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4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7" t="e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#REF!</v>
      </c>
      <c r="L218" s="197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9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6" t="e">
        <f t="shared" ca="1" si="62"/>
        <v>#REF!</v>
      </c>
      <c r="O218" s="197">
        <f t="shared" si="59"/>
        <v>0</v>
      </c>
      <c r="P218" s="207">
        <f t="shared" si="63"/>
        <v>0</v>
      </c>
      <c r="Q218" s="194">
        <f>IFERROR(VLOOKUP(A218,[1]Energiindhold!$A$2:$C$11,3,FALSE),IFERROR(VLOOKUP(A218,[1]Biogasudbytte!$A$2:$B$18,2,FALSE)*[1]Energiindhold!$C$10,0))*O218</f>
        <v>0</v>
      </c>
      <c r="R218" s="194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4">
        <f>IFERROR(VLOOKUP(A218,[1]Biogasudbytte!$A$2:$B$18,2,FALSE)*[1]Energiindhold!$C$10,0)*J218*IFERROR(VLOOKUP(A218,Biogasanlæg!$F$3:$G$8,2,FALSE),1)</f>
        <v>0</v>
      </c>
      <c r="T218" s="195">
        <f t="shared" si="64"/>
        <v>0</v>
      </c>
      <c r="U218" s="193">
        <f>O218*IFERROR(VLOOKUP(A218,[1]Tørstofindhold!A$2:B$25,2,FALSE),0)</f>
        <v>0</v>
      </c>
      <c r="V218" s="194">
        <f>IF(D218=År1,P218,SUM(O218,P218))*IFERROR(VLOOKUP(A218,[1]Tørstofindhold!A$2:B$25,2,FALSE),0)</f>
        <v>0</v>
      </c>
      <c r="W218" s="194">
        <f>J218*IFERROR(VLOOKUP(A218,[1]Tørstofindhold!A$2:B$25,2,FALSE),0)</f>
        <v>0</v>
      </c>
      <c r="X218" s="195">
        <f t="shared" si="65"/>
        <v>0</v>
      </c>
      <c r="Y218" s="173" t="e">
        <f t="shared" ca="1" si="60"/>
        <v>#REF!</v>
      </c>
      <c r="Z218" s="104" t="e">
        <f t="shared" ca="1" si="61"/>
        <v>#REF!</v>
      </c>
    </row>
    <row r="219" spans="1:26" hidden="1" x14ac:dyDescent="0.25">
      <c r="A219" s="196" t="str">
        <f t="shared" si="56"/>
        <v>Kvæggylle</v>
      </c>
      <c r="B219" s="196" t="str">
        <f t="shared" si="57"/>
        <v>Husdyrgødning</v>
      </c>
      <c r="C219" s="196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6">
        <f t="shared" si="58"/>
        <v>2030</v>
      </c>
      <c r="E219" s="194" t="s">
        <v>25</v>
      </c>
      <c r="F219" s="197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380945.09176051564</v>
      </c>
      <c r="G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4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289518.26973799191</v>
      </c>
      <c r="K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60570.269589921976</v>
      </c>
      <c r="L219" s="197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9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6">
        <f t="shared" si="62"/>
        <v>30856.552432601748</v>
      </c>
      <c r="O219" s="197">
        <f t="shared" si="59"/>
        <v>30856.552432601748</v>
      </c>
      <c r="P219" s="207">
        <f t="shared" si="63"/>
        <v>289518.26973799191</v>
      </c>
      <c r="Q219" s="194">
        <f>IFERROR(VLOOKUP(A219,[1]Energiindhold!$A$2:$C$11,3,FALSE),IFERROR(VLOOKUP(A219,[1]Biogasudbytte!$A$2:$B$18,2,FALSE)*[1]Energiindhold!$C$10,0))*O219</f>
        <v>1.561927827585868E-2</v>
      </c>
      <c r="R219" s="194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0.16217053123453282</v>
      </c>
      <c r="S219" s="194">
        <f>IFERROR(VLOOKUP(A219,[1]Biogasudbytte!$A$2:$B$18,2,FALSE)*[1]Energiindhold!$C$10,0)*J219*IFERROR(VLOOKUP(A219,Biogasanlæg!$F$3:$G$8,2,FALSE),1)</f>
        <v>0.14655125295867413</v>
      </c>
      <c r="T219" s="195">
        <f t="shared" si="64"/>
        <v>1.5619278275858683E-2</v>
      </c>
      <c r="U219" s="193">
        <f>O219*IFERROR(VLOOKUP(A219,[1]Tørstofindhold!A$2:B$25,2,FALSE),0)</f>
        <v>2345.0979848777329</v>
      </c>
      <c r="V219" s="194">
        <f>IF(D219=År1,P219,SUM(O219,P219))*IFERROR(VLOOKUP(A219,[1]Tørstofindhold!A$2:B$25,2,FALSE),0)</f>
        <v>24348.486484965117</v>
      </c>
      <c r="W219" s="194">
        <f>J219*IFERROR(VLOOKUP(A219,[1]Tørstofindhold!A$2:B$25,2,FALSE),0)</f>
        <v>22003.388500087385</v>
      </c>
      <c r="X219" s="195">
        <f t="shared" si="65"/>
        <v>2345.0979848777315</v>
      </c>
      <c r="Y219" s="173">
        <f t="shared" si="60"/>
        <v>0</v>
      </c>
      <c r="Z219" s="104">
        <f t="shared" si="61"/>
        <v>1</v>
      </c>
    </row>
    <row r="220" spans="1:26" hidden="1" x14ac:dyDescent="0.25">
      <c r="A220" s="196" t="str">
        <f t="shared" si="56"/>
        <v>Mælk til foder</v>
      </c>
      <c r="B220" s="196" t="str">
        <f t="shared" si="57"/>
        <v/>
      </c>
      <c r="C220" s="196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6">
        <f t="shared" si="58"/>
        <v>2030</v>
      </c>
      <c r="E220" s="194" t="s">
        <v>25</v>
      </c>
      <c r="F220" s="197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47841.213402714107</v>
      </c>
      <c r="G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93020.246856446116</v>
      </c>
      <c r="H220" s="194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7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9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6">
        <f t="shared" si="62"/>
        <v>-45179.033453732009</v>
      </c>
      <c r="O220" s="197">
        <f t="shared" si="59"/>
        <v>0</v>
      </c>
      <c r="P220" s="207">
        <f t="shared" si="63"/>
        <v>0</v>
      </c>
      <c r="Q220" s="194">
        <f>IFERROR(VLOOKUP(A220,[1]Energiindhold!$A$2:$C$11,3,FALSE),IFERROR(VLOOKUP(A220,[1]Biogasudbytte!$A$2:$B$18,2,FALSE)*[1]Energiindhold!$C$10,0))*O220</f>
        <v>0</v>
      </c>
      <c r="R220" s="194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4">
        <f>IFERROR(VLOOKUP(A220,[1]Biogasudbytte!$A$2:$B$18,2,FALSE)*[1]Energiindhold!$C$10,0)*J220*IFERROR(VLOOKUP(A220,Biogasanlæg!$F$3:$G$8,2,FALSE),1)</f>
        <v>0</v>
      </c>
      <c r="T220" s="195">
        <f t="shared" si="64"/>
        <v>0</v>
      </c>
      <c r="U220" s="193">
        <f>O220*IFERROR(VLOOKUP(A220,[1]Tørstofindhold!A$2:B$25,2,FALSE),0)</f>
        <v>0</v>
      </c>
      <c r="V220" s="194">
        <f>IF(D220=År1,P220,SUM(O220,P220))*IFERROR(VLOOKUP(A220,[1]Tørstofindhold!A$2:B$25,2,FALSE),0)</f>
        <v>0</v>
      </c>
      <c r="W220" s="194">
        <f>J220*IFERROR(VLOOKUP(A220,[1]Tørstofindhold!A$2:B$25,2,FALSE),0)</f>
        <v>0</v>
      </c>
      <c r="X220" s="195">
        <f t="shared" si="65"/>
        <v>0</v>
      </c>
      <c r="Y220" s="173">
        <f t="shared" si="60"/>
        <v>1</v>
      </c>
      <c r="Z220" s="104">
        <f t="shared" si="61"/>
        <v>0</v>
      </c>
    </row>
    <row r="221" spans="1:26" hidden="1" x14ac:dyDescent="0.25">
      <c r="A221" s="196" t="str">
        <f t="shared" si="56"/>
        <v>Majs</v>
      </c>
      <c r="B221" s="196" t="str">
        <f t="shared" si="57"/>
        <v>Græs og urter</v>
      </c>
      <c r="C221" s="196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6">
        <f t="shared" si="58"/>
        <v>2030</v>
      </c>
      <c r="E221" s="194" t="s">
        <v>25</v>
      </c>
      <c r="F221" s="197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324811.4917880242</v>
      </c>
      <c r="G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347176.63055464375</v>
      </c>
      <c r="H221" s="194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0</v>
      </c>
      <c r="K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7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9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6">
        <f t="shared" si="62"/>
        <v>-22365.138766619551</v>
      </c>
      <c r="O221" s="197">
        <f t="shared" si="59"/>
        <v>0</v>
      </c>
      <c r="P221" s="207">
        <f t="shared" si="63"/>
        <v>0</v>
      </c>
      <c r="Q221" s="194">
        <f>IFERROR(VLOOKUP(A221,[1]Energiindhold!$A$2:$C$11,3,FALSE),IFERROR(VLOOKUP(A221,[1]Biogasudbytte!$A$2:$B$18,2,FALSE)*[1]Energiindhold!$C$10,0))*O221</f>
        <v>0</v>
      </c>
      <c r="R221" s="194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0</v>
      </c>
      <c r="S221" s="194">
        <f>IFERROR(VLOOKUP(A221,[1]Biogasudbytte!$A$2:$B$18,2,FALSE)*[1]Energiindhold!$C$10,0)*J221*IFERROR(VLOOKUP(A221,Biogasanlæg!$F$3:$G$8,2,FALSE),1)</f>
        <v>0</v>
      </c>
      <c r="T221" s="195">
        <f t="shared" si="64"/>
        <v>0</v>
      </c>
      <c r="U221" s="193">
        <f>O221*IFERROR(VLOOKUP(A221,[1]Tørstofindhold!A$2:B$25,2,FALSE),0)</f>
        <v>0</v>
      </c>
      <c r="V221" s="194">
        <f>IF(D221=År1,P221,SUM(O221,P221))*IFERROR(VLOOKUP(A221,[1]Tørstofindhold!A$2:B$25,2,FALSE),0)</f>
        <v>0</v>
      </c>
      <c r="W221" s="194">
        <f>J221*IFERROR(VLOOKUP(A221,[1]Tørstofindhold!A$2:B$25,2,FALSE),0)</f>
        <v>0</v>
      </c>
      <c r="X221" s="195">
        <f t="shared" si="65"/>
        <v>0</v>
      </c>
      <c r="Y221" s="173">
        <f t="shared" si="60"/>
        <v>0</v>
      </c>
      <c r="Z221" s="104">
        <f t="shared" si="61"/>
        <v>1</v>
      </c>
    </row>
    <row r="222" spans="1:26" hidden="1" x14ac:dyDescent="0.25">
      <c r="A222" s="196" t="str">
        <f t="shared" si="56"/>
        <v>Mejeriprodukter</v>
      </c>
      <c r="B222" s="196" t="str">
        <f t="shared" si="57"/>
        <v/>
      </c>
      <c r="C222" s="196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6">
        <f t="shared" si="58"/>
        <v>2030</v>
      </c>
      <c r="E222" s="194" t="s">
        <v>25</v>
      </c>
      <c r="F222" s="197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92308.712787341981</v>
      </c>
      <c r="G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4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7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9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6">
        <f t="shared" si="62"/>
        <v>-316726.7190197719</v>
      </c>
      <c r="O222" s="197">
        <f t="shared" si="59"/>
        <v>0</v>
      </c>
      <c r="P222" s="207">
        <f t="shared" si="63"/>
        <v>0</v>
      </c>
      <c r="Q222" s="194">
        <f>IFERROR(VLOOKUP(A222,[1]Energiindhold!$A$2:$C$11,3,FALSE),IFERROR(VLOOKUP(A222,[1]Biogasudbytte!$A$2:$B$18,2,FALSE)*[1]Energiindhold!$C$10,0))*O222</f>
        <v>0</v>
      </c>
      <c r="R222" s="194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4">
        <f>IFERROR(VLOOKUP(A222,[1]Biogasudbytte!$A$2:$B$18,2,FALSE)*[1]Energiindhold!$C$10,0)*J222*IFERROR(VLOOKUP(A222,Biogasanlæg!$F$3:$G$8,2,FALSE),1)</f>
        <v>0</v>
      </c>
      <c r="T222" s="195">
        <f t="shared" si="64"/>
        <v>0</v>
      </c>
      <c r="U222" s="193">
        <f>O222*IFERROR(VLOOKUP(A222,[1]Tørstofindhold!A$2:B$25,2,FALSE),0)</f>
        <v>0</v>
      </c>
      <c r="V222" s="194">
        <f>IF(D222=År1,P222,SUM(O222,P222))*IFERROR(VLOOKUP(A222,[1]Tørstofindhold!A$2:B$25,2,FALSE),0)</f>
        <v>0</v>
      </c>
      <c r="W222" s="194">
        <f>J222*IFERROR(VLOOKUP(A222,[1]Tørstofindhold!A$2:B$25,2,FALSE),0)</f>
        <v>0</v>
      </c>
      <c r="X222" s="195">
        <f t="shared" si="65"/>
        <v>0</v>
      </c>
      <c r="Y222" s="173">
        <f t="shared" si="60"/>
        <v>0</v>
      </c>
      <c r="Z222" s="104">
        <f t="shared" si="61"/>
        <v>1</v>
      </c>
    </row>
    <row r="223" spans="1:26" hidden="1" x14ac:dyDescent="0.25">
      <c r="A223" s="196" t="str">
        <f t="shared" si="56"/>
        <v>Muslinger</v>
      </c>
      <c r="B223" s="196" t="str">
        <f t="shared" si="57"/>
        <v>Havbiomasse</v>
      </c>
      <c r="C223" s="196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6">
        <f t="shared" si="58"/>
        <v>2030</v>
      </c>
      <c r="E223" s="194" t="s">
        <v>25</v>
      </c>
      <c r="F223" s="197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4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7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9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6">
        <f t="shared" si="62"/>
        <v>3213.7922431390339</v>
      </c>
      <c r="O223" s="197">
        <f t="shared" si="59"/>
        <v>3213.7922431390339</v>
      </c>
      <c r="P223" s="207">
        <f t="shared" si="63"/>
        <v>0</v>
      </c>
      <c r="Q223" s="194">
        <f>IFERROR(VLOOKUP(A223,[1]Energiindhold!$A$2:$C$11,3,FALSE),IFERROR(VLOOKUP(A223,[1]Biogasudbytte!$A$2:$B$18,2,FALSE)*[1]Energiindhold!$C$10,0))*O223</f>
        <v>2.8843785382172832E-3</v>
      </c>
      <c r="R223" s="194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4">
        <f>IFERROR(VLOOKUP(A223,[1]Biogasudbytte!$A$2:$B$18,2,FALSE)*[1]Energiindhold!$C$10,0)*J223*IFERROR(VLOOKUP(A223,Biogasanlæg!$F$3:$G$8,2,FALSE),1)</f>
        <v>0</v>
      </c>
      <c r="T223" s="195">
        <f t="shared" si="64"/>
        <v>2.8843785382172832E-3</v>
      </c>
      <c r="U223" s="193">
        <f>O223*IFERROR(VLOOKUP(A223,[1]Tørstofindhold!A$2:B$25,2,FALSE),0)</f>
        <v>482.06883647085505</v>
      </c>
      <c r="V223" s="194">
        <f>IF(D223=År1,P223,SUM(O223,P223))*IFERROR(VLOOKUP(A223,[1]Tørstofindhold!A$2:B$25,2,FALSE),0)</f>
        <v>482.06883647085505</v>
      </c>
      <c r="W223" s="194">
        <f>J223*IFERROR(VLOOKUP(A223,[1]Tørstofindhold!A$2:B$25,2,FALSE),0)</f>
        <v>0</v>
      </c>
      <c r="X223" s="195">
        <f t="shared" si="65"/>
        <v>482.06883647085505</v>
      </c>
      <c r="Y223" s="173">
        <f t="shared" si="60"/>
        <v>0</v>
      </c>
      <c r="Z223" s="104">
        <f t="shared" si="61"/>
        <v>1</v>
      </c>
    </row>
    <row r="224" spans="1:26" hidden="1" x14ac:dyDescent="0.25">
      <c r="A224" s="196" t="str">
        <f t="shared" si="56"/>
        <v>Oksekød</v>
      </c>
      <c r="B224" s="196" t="str">
        <f t="shared" si="57"/>
        <v/>
      </c>
      <c r="C224" s="196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6">
        <f t="shared" si="58"/>
        <v>2030</v>
      </c>
      <c r="E224" s="194" t="s">
        <v>25</v>
      </c>
      <c r="F224" s="197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2676.8401917201513</v>
      </c>
      <c r="G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4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25987.85458981404</v>
      </c>
      <c r="J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7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9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6">
        <f t="shared" si="62"/>
        <v>-23311.014398093888</v>
      </c>
      <c r="O224" s="197">
        <f t="shared" si="59"/>
        <v>0</v>
      </c>
      <c r="P224" s="207">
        <f t="shared" si="63"/>
        <v>0</v>
      </c>
      <c r="Q224" s="194">
        <f>IFERROR(VLOOKUP(A224,[1]Energiindhold!$A$2:$C$11,3,FALSE),IFERROR(VLOOKUP(A224,[1]Biogasudbytte!$A$2:$B$18,2,FALSE)*[1]Energiindhold!$C$10,0))*O224</f>
        <v>0</v>
      </c>
      <c r="R224" s="194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4">
        <f>IFERROR(VLOOKUP(A224,[1]Biogasudbytte!$A$2:$B$18,2,FALSE)*[1]Energiindhold!$C$10,0)*J224*IFERROR(VLOOKUP(A224,Biogasanlæg!$F$3:$G$8,2,FALSE),1)</f>
        <v>0</v>
      </c>
      <c r="T224" s="195">
        <f t="shared" si="64"/>
        <v>0</v>
      </c>
      <c r="U224" s="193">
        <f>O224*IFERROR(VLOOKUP(A224,[1]Tørstofindhold!A$2:B$25,2,FALSE),0)</f>
        <v>0</v>
      </c>
      <c r="V224" s="194">
        <f>IF(D224=År1,P224,SUM(O224,P224))*IFERROR(VLOOKUP(A224,[1]Tørstofindhold!A$2:B$25,2,FALSE),0)</f>
        <v>0</v>
      </c>
      <c r="W224" s="194">
        <f>J224*IFERROR(VLOOKUP(A224,[1]Tørstofindhold!A$2:B$25,2,FALSE),0)</f>
        <v>0</v>
      </c>
      <c r="X224" s="195">
        <f t="shared" si="65"/>
        <v>0</v>
      </c>
      <c r="Y224" s="173">
        <f t="shared" si="60"/>
        <v>1</v>
      </c>
      <c r="Z224" s="104">
        <f t="shared" si="61"/>
        <v>0</v>
      </c>
    </row>
    <row r="225" spans="1:26" hidden="1" x14ac:dyDescent="0.25">
      <c r="A225" s="196" t="str">
        <f t="shared" si="56"/>
        <v>Øvrige</v>
      </c>
      <c r="B225" s="196" t="str">
        <f t="shared" si="57"/>
        <v/>
      </c>
      <c r="C225" s="196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6">
        <f t="shared" si="58"/>
        <v>2030</v>
      </c>
      <c r="E225" s="194" t="s">
        <v>25</v>
      </c>
      <c r="F225" s="197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309933.53039763391</v>
      </c>
      <c r="G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4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7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9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6">
        <f t="shared" si="62"/>
        <v>309933.53039763391</v>
      </c>
      <c r="O225" s="197">
        <f t="shared" si="59"/>
        <v>0</v>
      </c>
      <c r="P225" s="207">
        <f t="shared" si="63"/>
        <v>0</v>
      </c>
      <c r="Q225" s="194">
        <f>IFERROR(VLOOKUP(A225,[1]Energiindhold!$A$2:$C$11,3,FALSE),IFERROR(VLOOKUP(A225,[1]Biogasudbytte!$A$2:$B$18,2,FALSE)*[1]Energiindhold!$C$10,0))*O225</f>
        <v>0</v>
      </c>
      <c r="R225" s="194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4">
        <f>IFERROR(VLOOKUP(A225,[1]Biogasudbytte!$A$2:$B$18,2,FALSE)*[1]Energiindhold!$C$10,0)*J225*IFERROR(VLOOKUP(A225,Biogasanlæg!$F$3:$G$8,2,FALSE),1)</f>
        <v>0</v>
      </c>
      <c r="T225" s="195">
        <f t="shared" si="64"/>
        <v>0</v>
      </c>
      <c r="U225" s="193">
        <f>O225*IFERROR(VLOOKUP(A225,[1]Tørstofindhold!A$2:B$25,2,FALSE),0)</f>
        <v>0</v>
      </c>
      <c r="V225" s="194">
        <f>IF(D225=År1,P225,SUM(O225,P225))*IFERROR(VLOOKUP(A225,[1]Tørstofindhold!A$2:B$25,2,FALSE),0)</f>
        <v>0</v>
      </c>
      <c r="W225" s="194">
        <f>J225*IFERROR(VLOOKUP(A225,[1]Tørstofindhold!A$2:B$25,2,FALSE),0)</f>
        <v>0</v>
      </c>
      <c r="X225" s="195">
        <f t="shared" si="65"/>
        <v>0</v>
      </c>
      <c r="Y225" s="173">
        <f t="shared" si="60"/>
        <v>0</v>
      </c>
      <c r="Z225" s="104">
        <f t="shared" si="61"/>
        <v>1</v>
      </c>
    </row>
    <row r="226" spans="1:26" hidden="1" x14ac:dyDescent="0.25">
      <c r="A226" s="196" t="str">
        <f t="shared" si="56"/>
        <v>Pil &amp; poppel</v>
      </c>
      <c r="B226" s="196" t="str">
        <f t="shared" si="57"/>
        <v>Vedmasse</v>
      </c>
      <c r="C226" s="196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6">
        <f t="shared" si="58"/>
        <v>2030</v>
      </c>
      <c r="E226" s="194" t="s">
        <v>25</v>
      </c>
      <c r="F226" s="197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26464.763790340134</v>
      </c>
      <c r="G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4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7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26464.763790340134</v>
      </c>
      <c r="M226" s="159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6">
        <f t="shared" si="62"/>
        <v>0</v>
      </c>
      <c r="O226" s="197">
        <f t="shared" si="59"/>
        <v>0</v>
      </c>
      <c r="P226" s="207">
        <f t="shared" si="63"/>
        <v>26464.763790340134</v>
      </c>
      <c r="Q226" s="194">
        <f>IFERROR(VLOOKUP(A226,[1]Energiindhold!$A$2:$C$11,3,FALSE),IFERROR(VLOOKUP(A226,[1]Biogasudbytte!$A$2:$B$18,2,FALSE)*[1]Energiindhold!$C$10,0))*O226</f>
        <v>0</v>
      </c>
      <c r="R226" s="194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0.48695165374225835</v>
      </c>
      <c r="S226" s="194">
        <f>IFERROR(VLOOKUP(A226,[1]Biogasudbytte!$A$2:$B$18,2,FALSE)*[1]Energiindhold!$C$10,0)*J226*IFERROR(VLOOKUP(A226,Biogasanlæg!$F$3:$G$8,2,FALSE),1)</f>
        <v>0</v>
      </c>
      <c r="T226" s="195">
        <f t="shared" si="64"/>
        <v>0.48695165374225835</v>
      </c>
      <c r="U226" s="193">
        <f>O226*IFERROR(VLOOKUP(A226,[1]Tørstofindhold!A$2:B$25,2,FALSE),0)</f>
        <v>0</v>
      </c>
      <c r="V226" s="194">
        <f>IF(D226=År1,P226,SUM(O226,P226))*IFERROR(VLOOKUP(A226,[1]Tørstofindhold!A$2:B$25,2,FALSE),0)</f>
        <v>10982.876972991156</v>
      </c>
      <c r="W226" s="194">
        <f>J226*IFERROR(VLOOKUP(A226,[1]Tørstofindhold!A$2:B$25,2,FALSE),0)</f>
        <v>0</v>
      </c>
      <c r="X226" s="195">
        <f t="shared" si="65"/>
        <v>10982.876972991156</v>
      </c>
      <c r="Y226" s="173">
        <f t="shared" si="60"/>
        <v>0</v>
      </c>
      <c r="Z226" s="104">
        <f t="shared" si="61"/>
        <v>0</v>
      </c>
    </row>
    <row r="227" spans="1:26" hidden="1" x14ac:dyDescent="0.25">
      <c r="A227" s="196" t="str">
        <f t="shared" ref="A227:A228" si="66">A179</f>
        <v>Pyrolysegas</v>
      </c>
      <c r="B227" s="196" t="str">
        <f t="shared" ref="B227:B228" si="67">IF(B179&lt;&gt;"",B179,"")</f>
        <v>Pyrolyseprodukter</v>
      </c>
      <c r="C227" s="196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6">
        <f t="shared" si="58"/>
        <v>2030</v>
      </c>
      <c r="E227" s="194" t="s">
        <v>25</v>
      </c>
      <c r="F227" s="197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4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7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9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6">
        <f t="shared" ref="N227:N228" si="68">F227-SUM(G227:M227)</f>
        <v>0</v>
      </c>
      <c r="O227" s="197">
        <f t="shared" si="59"/>
        <v>0</v>
      </c>
      <c r="P227" s="207">
        <f t="shared" ref="P227:P228" si="69">SUM(J227,L227)</f>
        <v>0</v>
      </c>
      <c r="Q227" s="194">
        <f>IFERROR(VLOOKUP(A227,[1]Energiindhold!$A$2:$C$11,3,FALSE),IFERROR(VLOOKUP(A227,[1]Biogasudbytte!$A$2:$B$18,2,FALSE)*[1]Energiindhold!$C$10,0))*O227</f>
        <v>0</v>
      </c>
      <c r="R227" s="194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4">
        <f>IFERROR(VLOOKUP(A227,[1]Biogasudbytte!$A$2:$B$18,2,FALSE)*[1]Energiindhold!$C$10,0)*J227*IFERROR(VLOOKUP(A227,Biogasanlæg!$F$3:$G$8,2,FALSE),1)</f>
        <v>0</v>
      </c>
      <c r="T227" s="195">
        <f t="shared" ref="T227:T228" si="70">R227-S227</f>
        <v>0</v>
      </c>
      <c r="U227" s="193">
        <f>O227*IFERROR(VLOOKUP(A227,[1]Tørstofindhold!A$2:B$25,2,FALSE),0)</f>
        <v>0</v>
      </c>
      <c r="V227" s="194">
        <f>IF(D227=År1,P227,SUM(O227,P227))*IFERROR(VLOOKUP(A227,[1]Tørstofindhold!A$2:B$25,2,FALSE),0)</f>
        <v>0</v>
      </c>
      <c r="W227" s="194">
        <f>J227*IFERROR(VLOOKUP(A227,[1]Tørstofindhold!A$2:B$25,2,FALSE),0)</f>
        <v>0</v>
      </c>
      <c r="X227" s="195">
        <f t="shared" ref="X227:X228" si="71">V227-W227</f>
        <v>0</v>
      </c>
      <c r="Y227" s="173">
        <f t="shared" si="60"/>
        <v>0</v>
      </c>
      <c r="Z227" s="104">
        <f t="shared" si="61"/>
        <v>0</v>
      </c>
    </row>
    <row r="228" spans="1:26" hidden="1" x14ac:dyDescent="0.25">
      <c r="A228" s="196" t="str">
        <f t="shared" si="66"/>
        <v>Pyrolyseolie</v>
      </c>
      <c r="B228" s="196" t="str">
        <f t="shared" si="67"/>
        <v>Pyrolyseprodukter</v>
      </c>
      <c r="C228" s="196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6">
        <f t="shared" si="58"/>
        <v>2030</v>
      </c>
      <c r="E228" s="194" t="s">
        <v>25</v>
      </c>
      <c r="F228" s="197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4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7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9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6">
        <f t="shared" si="68"/>
        <v>0</v>
      </c>
      <c r="O228" s="197">
        <f t="shared" si="59"/>
        <v>0</v>
      </c>
      <c r="P228" s="207">
        <f t="shared" si="69"/>
        <v>0</v>
      </c>
      <c r="Q228" s="194">
        <f>IFERROR(VLOOKUP(A228,[1]Energiindhold!$A$2:$C$11,3,FALSE),IFERROR(VLOOKUP(A228,[1]Biogasudbytte!$A$2:$B$18,2,FALSE)*[1]Energiindhold!$C$10,0))*O228</f>
        <v>0</v>
      </c>
      <c r="R228" s="194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4">
        <f>IFERROR(VLOOKUP(A228,[1]Biogasudbytte!$A$2:$B$18,2,FALSE)*[1]Energiindhold!$C$10,0)*J228*IFERROR(VLOOKUP(A228,Biogasanlæg!$F$3:$G$8,2,FALSE),1)</f>
        <v>0</v>
      </c>
      <c r="T228" s="195">
        <f t="shared" si="70"/>
        <v>0</v>
      </c>
      <c r="U228" s="193">
        <f>O228*IFERROR(VLOOKUP(A228,[1]Tørstofindhold!A$2:B$25,2,FALSE),0)</f>
        <v>0</v>
      </c>
      <c r="V228" s="194">
        <f>IF(D228=År1,P228,SUM(O228,P228))*IFERROR(VLOOKUP(A228,[1]Tørstofindhold!A$2:B$25,2,FALSE),0)</f>
        <v>0</v>
      </c>
      <c r="W228" s="194">
        <f>J228*IFERROR(VLOOKUP(A228,[1]Tørstofindhold!A$2:B$25,2,FALSE),0)</f>
        <v>0</v>
      </c>
      <c r="X228" s="195">
        <f t="shared" si="71"/>
        <v>0</v>
      </c>
      <c r="Y228" s="173">
        <f t="shared" si="60"/>
        <v>0</v>
      </c>
      <c r="Z228" s="104">
        <f t="shared" si="61"/>
        <v>0</v>
      </c>
    </row>
    <row r="229" spans="1:26" hidden="1" x14ac:dyDescent="0.25">
      <c r="A229" s="196" t="str">
        <f t="shared" ref="A229:A274" si="72">A181</f>
        <v>Råmælk</v>
      </c>
      <c r="B229" s="196" t="str">
        <f t="shared" ref="B229:B274" si="73">IF(B181&lt;&gt;"",B181,"")</f>
        <v/>
      </c>
      <c r="C229" s="196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6">
        <f t="shared" si="58"/>
        <v>2030</v>
      </c>
      <c r="E229" s="194" t="s">
        <v>25</v>
      </c>
      <c r="F229" s="197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143743.51404108317</v>
      </c>
      <c r="G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4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7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9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6">
        <f t="shared" si="62"/>
        <v>143743.51404108317</v>
      </c>
      <c r="O229" s="197">
        <f t="shared" si="59"/>
        <v>0</v>
      </c>
      <c r="P229" s="207">
        <f t="shared" si="63"/>
        <v>0</v>
      </c>
      <c r="Q229" s="194">
        <f>IFERROR(VLOOKUP(A229,[1]Energiindhold!$A$2:$C$11,3,FALSE),IFERROR(VLOOKUP(A229,[1]Biogasudbytte!$A$2:$B$18,2,FALSE)*[1]Energiindhold!$C$10,0))*O229</f>
        <v>0</v>
      </c>
      <c r="R229" s="194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4">
        <f>IFERROR(VLOOKUP(A229,[1]Biogasudbytte!$A$2:$B$18,2,FALSE)*[1]Energiindhold!$C$10,0)*J229*IFERROR(VLOOKUP(A229,Biogasanlæg!$F$3:$G$8,2,FALSE),1)</f>
        <v>0</v>
      </c>
      <c r="T229" s="195">
        <f t="shared" si="64"/>
        <v>0</v>
      </c>
      <c r="U229" s="193">
        <f>O229*IFERROR(VLOOKUP(A229,[1]Tørstofindhold!A$2:B$25,2,FALSE),0)</f>
        <v>0</v>
      </c>
      <c r="V229" s="194">
        <f>IF(D229=År1,P229,SUM(O229,P229))*IFERROR(VLOOKUP(A229,[1]Tørstofindhold!A$2:B$25,2,FALSE),0)</f>
        <v>0</v>
      </c>
      <c r="W229" s="194">
        <f>J229*IFERROR(VLOOKUP(A229,[1]Tørstofindhold!A$2:B$25,2,FALSE),0)</f>
        <v>0</v>
      </c>
      <c r="X229" s="195">
        <f t="shared" si="65"/>
        <v>0</v>
      </c>
      <c r="Y229" s="173">
        <f t="shared" si="60"/>
        <v>0</v>
      </c>
      <c r="Z229" s="104">
        <f t="shared" si="61"/>
        <v>1</v>
      </c>
    </row>
    <row r="230" spans="1:26" hidden="1" x14ac:dyDescent="0.25">
      <c r="A230" s="196" t="str">
        <f t="shared" si="72"/>
        <v>Raps</v>
      </c>
      <c r="B230" s="196" t="str">
        <f t="shared" si="73"/>
        <v/>
      </c>
      <c r="C230" s="196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6">
        <f t="shared" si="58"/>
        <v>2030</v>
      </c>
      <c r="E230" s="194" t="s">
        <v>25</v>
      </c>
      <c r="F230" s="197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151456.7046357762</v>
      </c>
      <c r="G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4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7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9">
        <f>SUMIFS('Forbrug af biomasse'!E:E,'Forbrug af biomasse'!C:C,'Resultat-Produktion &amp; forbrug'!$A230,'Forbrug af biomasse'!D:D,'Resultat-Produktion &amp; forbrug'!$D230,'Forbrug af biomasse'!G:G,1,'Forbrug af biomasse'!B:B,$E230)</f>
        <v>151456.7046357762</v>
      </c>
      <c r="N230" s="206">
        <f t="shared" si="62"/>
        <v>0</v>
      </c>
      <c r="O230" s="197">
        <f t="shared" si="59"/>
        <v>0</v>
      </c>
      <c r="P230" s="207">
        <f t="shared" si="63"/>
        <v>0</v>
      </c>
      <c r="Q230" s="194">
        <f>IFERROR(VLOOKUP(A230,[1]Energiindhold!$A$2:$C$11,3,FALSE),IFERROR(VLOOKUP(A230,[1]Biogasudbytte!$A$2:$B$18,2,FALSE)*[1]Energiindhold!$C$10,0))*O230</f>
        <v>0</v>
      </c>
      <c r="R230" s="194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4">
        <f>IFERROR(VLOOKUP(A230,[1]Biogasudbytte!$A$2:$B$18,2,FALSE)*[1]Energiindhold!$C$10,0)*J230*IFERROR(VLOOKUP(A230,Biogasanlæg!$F$3:$G$8,2,FALSE),1)</f>
        <v>0</v>
      </c>
      <c r="T230" s="195">
        <f t="shared" si="64"/>
        <v>0</v>
      </c>
      <c r="U230" s="193">
        <f>O230*IFERROR(VLOOKUP(A230,[1]Tørstofindhold!A$2:B$25,2,FALSE),0)</f>
        <v>0</v>
      </c>
      <c r="V230" s="194">
        <f>IF(D230=År1,P230,SUM(O230,P230))*IFERROR(VLOOKUP(A230,[1]Tørstofindhold!A$2:B$25,2,FALSE),0)</f>
        <v>0</v>
      </c>
      <c r="W230" s="194">
        <f>J230*IFERROR(VLOOKUP(A230,[1]Tørstofindhold!A$2:B$25,2,FALSE),0)</f>
        <v>0</v>
      </c>
      <c r="X230" s="195">
        <f t="shared" si="65"/>
        <v>0</v>
      </c>
      <c r="Y230" s="173">
        <f t="shared" si="60"/>
        <v>0</v>
      </c>
      <c r="Z230" s="104">
        <f t="shared" si="61"/>
        <v>0</v>
      </c>
    </row>
    <row r="231" spans="1:26" hidden="1" x14ac:dyDescent="0.25">
      <c r="A231" s="196" t="str">
        <f t="shared" si="72"/>
        <v>Rapskage</v>
      </c>
      <c r="B231" s="196" t="str">
        <f t="shared" si="73"/>
        <v/>
      </c>
      <c r="C231" s="196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6">
        <f t="shared" si="58"/>
        <v>2030</v>
      </c>
      <c r="E231" s="194" t="s">
        <v>25</v>
      </c>
      <c r="F231" s="197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75728.352317888101</v>
      </c>
      <c r="G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13139.384750999187</v>
      </c>
      <c r="H231" s="194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7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9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6">
        <f t="shared" si="62"/>
        <v>62588.96756688891</v>
      </c>
      <c r="O231" s="197">
        <f t="shared" si="59"/>
        <v>0</v>
      </c>
      <c r="P231" s="207">
        <f t="shared" si="63"/>
        <v>0</v>
      </c>
      <c r="Q231" s="194">
        <f>IFERROR(VLOOKUP(A231,[1]Energiindhold!$A$2:$C$11,3,FALSE),IFERROR(VLOOKUP(A231,[1]Biogasudbytte!$A$2:$B$18,2,FALSE)*[1]Energiindhold!$C$10,0))*O231</f>
        <v>0</v>
      </c>
      <c r="R231" s="194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4">
        <f>IFERROR(VLOOKUP(A231,[1]Biogasudbytte!$A$2:$B$18,2,FALSE)*[1]Energiindhold!$C$10,0)*J231*IFERROR(VLOOKUP(A231,Biogasanlæg!$F$3:$G$8,2,FALSE),1)</f>
        <v>0</v>
      </c>
      <c r="T231" s="195">
        <f t="shared" si="64"/>
        <v>0</v>
      </c>
      <c r="U231" s="193">
        <f>O231*IFERROR(VLOOKUP(A231,[1]Tørstofindhold!A$2:B$25,2,FALSE),0)</f>
        <v>0</v>
      </c>
      <c r="V231" s="194">
        <f>IF(D231=År1,P231,SUM(O231,P231))*IFERROR(VLOOKUP(A231,[1]Tørstofindhold!A$2:B$25,2,FALSE),0)</f>
        <v>0</v>
      </c>
      <c r="W231" s="194">
        <f>J231*IFERROR(VLOOKUP(A231,[1]Tørstofindhold!A$2:B$25,2,FALSE),0)</f>
        <v>0</v>
      </c>
      <c r="X231" s="195">
        <f t="shared" si="65"/>
        <v>0</v>
      </c>
      <c r="Y231" s="173">
        <f t="shared" si="60"/>
        <v>0</v>
      </c>
      <c r="Z231" s="104">
        <f t="shared" si="61"/>
        <v>1</v>
      </c>
    </row>
    <row r="232" spans="1:26" hidden="1" x14ac:dyDescent="0.25">
      <c r="A232" s="196" t="str">
        <f t="shared" si="72"/>
        <v>Rapsolie</v>
      </c>
      <c r="B232" s="196" t="str">
        <f t="shared" si="73"/>
        <v>Rapsolie</v>
      </c>
      <c r="C232" s="196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6">
        <f t="shared" si="58"/>
        <v>2030</v>
      </c>
      <c r="E232" s="194" t="s">
        <v>25</v>
      </c>
      <c r="F232" s="197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48466.145483448388</v>
      </c>
      <c r="G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4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7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48466.145483448388</v>
      </c>
      <c r="M232" s="159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6">
        <f t="shared" si="62"/>
        <v>0</v>
      </c>
      <c r="O232" s="197">
        <f t="shared" si="59"/>
        <v>0</v>
      </c>
      <c r="P232" s="207">
        <f t="shared" si="63"/>
        <v>48466.145483448388</v>
      </c>
      <c r="Q232" s="194">
        <f>IFERROR(VLOOKUP(A232,[1]Energiindhold!$A$2:$C$11,3,FALSE),IFERROR(VLOOKUP(A232,[1]Biogasudbytte!$A$2:$B$18,2,FALSE)*[1]Energiindhold!$C$10,0))*O232</f>
        <v>0</v>
      </c>
      <c r="R232" s="194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1.6963150919206935</v>
      </c>
      <c r="S232" s="194">
        <f>IFERROR(VLOOKUP(A232,[1]Biogasudbytte!$A$2:$B$18,2,FALSE)*[1]Energiindhold!$C$10,0)*J232*IFERROR(VLOOKUP(A232,Biogasanlæg!$F$3:$G$8,2,FALSE),1)</f>
        <v>0</v>
      </c>
      <c r="T232" s="195">
        <f t="shared" si="64"/>
        <v>1.6963150919206935</v>
      </c>
      <c r="U232" s="193">
        <f>O232*IFERROR(VLOOKUP(A232,[1]Tørstofindhold!A$2:B$25,2,FALSE),0)</f>
        <v>0</v>
      </c>
      <c r="V232" s="194">
        <f>IF(D232=År1,P232,SUM(O232,P232))*IFERROR(VLOOKUP(A232,[1]Tørstofindhold!A$2:B$25,2,FALSE),0)</f>
        <v>44104.192389938034</v>
      </c>
      <c r="W232" s="194">
        <f>J232*IFERROR(VLOOKUP(A232,[1]Tørstofindhold!A$2:B$25,2,FALSE),0)</f>
        <v>0</v>
      </c>
      <c r="X232" s="195">
        <f t="shared" si="65"/>
        <v>44104.192389938034</v>
      </c>
      <c r="Y232" s="173">
        <f t="shared" si="60"/>
        <v>0</v>
      </c>
      <c r="Z232" s="104">
        <f t="shared" si="61"/>
        <v>0</v>
      </c>
    </row>
    <row r="233" spans="1:26" hidden="1" x14ac:dyDescent="0.25">
      <c r="A233" s="196" t="str">
        <f t="shared" si="72"/>
        <v>Roer</v>
      </c>
      <c r="B233" s="196" t="str">
        <f t="shared" si="73"/>
        <v>Græs og urter</v>
      </c>
      <c r="C233" s="196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6">
        <f t="shared" si="58"/>
        <v>2030</v>
      </c>
      <c r="E233" s="194" t="s">
        <v>25</v>
      </c>
      <c r="F233" s="197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426968.23377582035</v>
      </c>
      <c r="G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51622.938415013545</v>
      </c>
      <c r="H233" s="194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0</v>
      </c>
      <c r="K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7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9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6">
        <f t="shared" si="62"/>
        <v>375345.29536080681</v>
      </c>
      <c r="O233" s="197">
        <f t="shared" si="59"/>
        <v>199263.33288089724</v>
      </c>
      <c r="P233" s="207">
        <f t="shared" si="63"/>
        <v>0</v>
      </c>
      <c r="Q233" s="194">
        <f>IFERROR(VLOOKUP(A233,[1]Energiindhold!$A$2:$C$11,3,FALSE),IFERROR(VLOOKUP(A233,[1]Biogasudbytte!$A$2:$B$18,2,FALSE)*[1]Energiindhold!$C$10,0))*O233</f>
        <v>0.5408086559720704</v>
      </c>
      <c r="R233" s="194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0.5408086559720704</v>
      </c>
      <c r="S233" s="194">
        <f>IFERROR(VLOOKUP(A233,[1]Biogasudbytte!$A$2:$B$18,2,FALSE)*[1]Energiindhold!$C$10,0)*J233*IFERROR(VLOOKUP(A233,Biogasanlæg!$F$3:$G$8,2,FALSE),1)</f>
        <v>0</v>
      </c>
      <c r="T233" s="195">
        <f t="shared" si="64"/>
        <v>0.5408086559720704</v>
      </c>
      <c r="U233" s="193">
        <f>O233*IFERROR(VLOOKUP(A233,[1]Tørstofindhold!A$2:B$25,2,FALSE),0)</f>
        <v>39852.66657617945</v>
      </c>
      <c r="V233" s="194">
        <f>IF(D233=År1,P233,SUM(O233,P233))*IFERROR(VLOOKUP(A233,[1]Tørstofindhold!A$2:B$25,2,FALSE),0)</f>
        <v>39852.66657617945</v>
      </c>
      <c r="W233" s="194">
        <f>J233*IFERROR(VLOOKUP(A233,[1]Tørstofindhold!A$2:B$25,2,FALSE),0)</f>
        <v>0</v>
      </c>
      <c r="X233" s="195">
        <f t="shared" si="65"/>
        <v>39852.66657617945</v>
      </c>
      <c r="Y233" s="173">
        <f t="shared" si="60"/>
        <v>0</v>
      </c>
      <c r="Z233" s="104">
        <f t="shared" si="61"/>
        <v>1</v>
      </c>
    </row>
    <row r="234" spans="1:26" hidden="1" x14ac:dyDescent="0.25">
      <c r="A234" s="196" t="str">
        <f t="shared" si="72"/>
        <v>Slagteriaffald til andet</v>
      </c>
      <c r="B234" s="196" t="str">
        <f t="shared" si="73"/>
        <v/>
      </c>
      <c r="C234" s="196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6">
        <f t="shared" si="58"/>
        <v>2030</v>
      </c>
      <c r="E234" s="194" t="s">
        <v>25</v>
      </c>
      <c r="F234" s="197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8344.0617622018926</v>
      </c>
      <c r="G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4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7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9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6">
        <f t="shared" si="62"/>
        <v>8344.0617622018926</v>
      </c>
      <c r="O234" s="197">
        <f t="shared" si="59"/>
        <v>0</v>
      </c>
      <c r="P234" s="207">
        <f t="shared" si="63"/>
        <v>0</v>
      </c>
      <c r="Q234" s="194">
        <f>IFERROR(VLOOKUP(A234,[1]Energiindhold!$A$2:$C$11,3,FALSE),IFERROR(VLOOKUP(A234,[1]Biogasudbytte!$A$2:$B$18,2,FALSE)*[1]Energiindhold!$C$10,0))*O234</f>
        <v>0</v>
      </c>
      <c r="R234" s="194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4">
        <f>IFERROR(VLOOKUP(A234,[1]Biogasudbytte!$A$2:$B$18,2,FALSE)*[1]Energiindhold!$C$10,0)*J234*IFERROR(VLOOKUP(A234,Biogasanlæg!$F$3:$G$8,2,FALSE),1)</f>
        <v>0</v>
      </c>
      <c r="T234" s="195">
        <f t="shared" si="64"/>
        <v>0</v>
      </c>
      <c r="U234" s="193">
        <f>O234*IFERROR(VLOOKUP(A234,[1]Tørstofindhold!A$2:B$25,2,FALSE),0)</f>
        <v>0</v>
      </c>
      <c r="V234" s="194">
        <f>IF(D234=År1,P234,SUM(O234,P234))*IFERROR(VLOOKUP(A234,[1]Tørstofindhold!A$2:B$25,2,FALSE),0)</f>
        <v>0</v>
      </c>
      <c r="W234" s="194">
        <f>J234*IFERROR(VLOOKUP(A234,[1]Tørstofindhold!A$2:B$25,2,FALSE),0)</f>
        <v>0</v>
      </c>
      <c r="X234" s="195">
        <f t="shared" si="65"/>
        <v>0</v>
      </c>
      <c r="Y234" s="173">
        <f t="shared" si="60"/>
        <v>0</v>
      </c>
      <c r="Z234" s="104">
        <f t="shared" si="61"/>
        <v>1</v>
      </c>
    </row>
    <row r="235" spans="1:26" hidden="1" x14ac:dyDescent="0.25">
      <c r="A235" s="196" t="str">
        <f t="shared" si="72"/>
        <v>Slagteriaffald til foder</v>
      </c>
      <c r="B235" s="196" t="str">
        <f t="shared" si="73"/>
        <v/>
      </c>
      <c r="C235" s="196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6">
        <f t="shared" si="58"/>
        <v>2030</v>
      </c>
      <c r="E235" s="194" t="s">
        <v>25</v>
      </c>
      <c r="F235" s="197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6842.7362268510151</v>
      </c>
      <c r="G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2418.9662303094738</v>
      </c>
      <c r="H235" s="194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7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9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6">
        <f t="shared" si="62"/>
        <v>4423.7699965415413</v>
      </c>
      <c r="O235" s="197">
        <f t="shared" si="59"/>
        <v>0</v>
      </c>
      <c r="P235" s="207">
        <f t="shared" si="63"/>
        <v>0</v>
      </c>
      <c r="Q235" s="194">
        <f>IFERROR(VLOOKUP(A235,[1]Energiindhold!$A$2:$C$11,3,FALSE),IFERROR(VLOOKUP(A235,[1]Biogasudbytte!$A$2:$B$18,2,FALSE)*[1]Energiindhold!$C$10,0))*O235</f>
        <v>0</v>
      </c>
      <c r="R235" s="194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4">
        <f>IFERROR(VLOOKUP(A235,[1]Biogasudbytte!$A$2:$B$18,2,FALSE)*[1]Energiindhold!$C$10,0)*J235*IFERROR(VLOOKUP(A235,Biogasanlæg!$F$3:$G$8,2,FALSE),1)</f>
        <v>0</v>
      </c>
      <c r="T235" s="195">
        <f t="shared" si="64"/>
        <v>0</v>
      </c>
      <c r="U235" s="193">
        <f>O235*IFERROR(VLOOKUP(A235,[1]Tørstofindhold!A$2:B$25,2,FALSE),0)</f>
        <v>0</v>
      </c>
      <c r="V235" s="194">
        <f>IF(D235=År1,P235,SUM(O235,P235))*IFERROR(VLOOKUP(A235,[1]Tørstofindhold!A$2:B$25,2,FALSE),0)</f>
        <v>0</v>
      </c>
      <c r="W235" s="194">
        <f>J235*IFERROR(VLOOKUP(A235,[1]Tørstofindhold!A$2:B$25,2,FALSE),0)</f>
        <v>0</v>
      </c>
      <c r="X235" s="195">
        <f t="shared" si="65"/>
        <v>0</v>
      </c>
      <c r="Y235" s="173">
        <f t="shared" si="60"/>
        <v>0</v>
      </c>
      <c r="Z235" s="104">
        <f t="shared" si="61"/>
        <v>1</v>
      </c>
    </row>
    <row r="236" spans="1:26" hidden="1" x14ac:dyDescent="0.25">
      <c r="A236" s="196" t="str">
        <f t="shared" si="72"/>
        <v>Spildevandsslam</v>
      </c>
      <c r="B236" s="196" t="str">
        <f t="shared" si="73"/>
        <v>Bionedbrydeligt affald</v>
      </c>
      <c r="C236" s="196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6">
        <f t="shared" si="58"/>
        <v>2030</v>
      </c>
      <c r="E236" s="194" t="s">
        <v>25</v>
      </c>
      <c r="F236" s="197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3338993.6511468254</v>
      </c>
      <c r="G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4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1266309.4826732657</v>
      </c>
      <c r="K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7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9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6">
        <f t="shared" si="62"/>
        <v>2072684.1684735597</v>
      </c>
      <c r="O236" s="197">
        <f t="shared" si="59"/>
        <v>2072684.1684735597</v>
      </c>
      <c r="P236" s="207">
        <f t="shared" si="63"/>
        <v>1266309.4826732657</v>
      </c>
      <c r="Q236" s="194">
        <f>IFERROR(VLOOKUP(A236,[1]Energiindhold!$A$2:$C$11,3,FALSE),IFERROR(VLOOKUP(A236,[1]Biogasudbytte!$A$2:$B$18,2,FALSE)*[1]Energiindhold!$C$10,0))*O236</f>
        <v>1.0342901269099911</v>
      </c>
      <c r="R236" s="194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1.6661912218587775</v>
      </c>
      <c r="S236" s="194">
        <f>IFERROR(VLOOKUP(A236,[1]Biogasudbytte!$A$2:$B$18,2,FALSE)*[1]Energiindhold!$C$10,0)*J236*IFERROR(VLOOKUP(A236,Biogasanlæg!$F$3:$G$8,2,FALSE),1)</f>
        <v>0.63190109494878643</v>
      </c>
      <c r="T236" s="195">
        <f t="shared" si="64"/>
        <v>1.0342901269099911</v>
      </c>
      <c r="U236" s="193">
        <f>O236*IFERROR(VLOOKUP(A236,[1]Tørstofindhold!A$2:B$25,2,FALSE),0)</f>
        <v>124361.05010841358</v>
      </c>
      <c r="V236" s="194">
        <f>IF(D236=År1,P236,SUM(O236,P236))*IFERROR(VLOOKUP(A236,[1]Tørstofindhold!A$2:B$25,2,FALSE),0)</f>
        <v>200339.61906880952</v>
      </c>
      <c r="W236" s="194">
        <f>J236*IFERROR(VLOOKUP(A236,[1]Tørstofindhold!A$2:B$25,2,FALSE),0)</f>
        <v>75978.568960395947</v>
      </c>
      <c r="X236" s="195">
        <f t="shared" si="65"/>
        <v>124361.05010841358</v>
      </c>
      <c r="Y236" s="173">
        <f t="shared" si="60"/>
        <v>0</v>
      </c>
      <c r="Z236" s="104">
        <f t="shared" si="61"/>
        <v>1</v>
      </c>
    </row>
    <row r="237" spans="1:26" hidden="1" x14ac:dyDescent="0.25">
      <c r="A237" s="196" t="str">
        <f t="shared" si="72"/>
        <v>Svinegylle</v>
      </c>
      <c r="B237" s="196" t="str">
        <f t="shared" si="73"/>
        <v>Husdyrgødning</v>
      </c>
      <c r="C237" s="196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6">
        <f t="shared" si="58"/>
        <v>2030</v>
      </c>
      <c r="E237" s="194" t="s">
        <v>25</v>
      </c>
      <c r="F237" s="197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667370.23542098131</v>
      </c>
      <c r="G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4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353706.22477312014</v>
      </c>
      <c r="K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313664.01064786117</v>
      </c>
      <c r="L237" s="197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9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6">
        <f t="shared" si="62"/>
        <v>0</v>
      </c>
      <c r="O237" s="197">
        <f t="shared" si="59"/>
        <v>0</v>
      </c>
      <c r="P237" s="207">
        <f t="shared" si="63"/>
        <v>353706.22477312014</v>
      </c>
      <c r="Q237" s="194">
        <f>IFERROR(VLOOKUP(A237,[1]Energiindhold!$A$2:$C$11,3,FALSE),IFERROR(VLOOKUP(A237,[1]Biogasudbytte!$A$2:$B$18,2,FALSE)*[1]Energiindhold!$C$10,0))*O237</f>
        <v>0</v>
      </c>
      <c r="R237" s="194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0.15237664163226017</v>
      </c>
      <c r="S237" s="194">
        <f>IFERROR(VLOOKUP(A237,[1]Biogasudbytte!$A$2:$B$18,2,FALSE)*[1]Energiindhold!$C$10,0)*J237*IFERROR(VLOOKUP(A237,Biogasanlæg!$F$3:$G$8,2,FALSE),1)</f>
        <v>0.15237664163226017</v>
      </c>
      <c r="T237" s="195">
        <f t="shared" si="64"/>
        <v>0</v>
      </c>
      <c r="U237" s="193">
        <f>O237*IFERROR(VLOOKUP(A237,[1]Tørstofindhold!A$2:B$25,2,FALSE),0)</f>
        <v>0</v>
      </c>
      <c r="V237" s="194">
        <f>IF(D237=År1,P237,SUM(O237,P237))*IFERROR(VLOOKUP(A237,[1]Tørstofindhold!A$2:B$25,2,FALSE),0)</f>
        <v>17685.311238656006</v>
      </c>
      <c r="W237" s="194">
        <f>J237*IFERROR(VLOOKUP(A237,[1]Tørstofindhold!A$2:B$25,2,FALSE),0)</f>
        <v>17685.311238656006</v>
      </c>
      <c r="X237" s="195">
        <f t="shared" si="65"/>
        <v>0</v>
      </c>
      <c r="Y237" s="173">
        <f t="shared" si="60"/>
        <v>0</v>
      </c>
      <c r="Z237" s="104">
        <f t="shared" si="61"/>
        <v>0</v>
      </c>
    </row>
    <row r="238" spans="1:26" hidden="1" x14ac:dyDescent="0.25">
      <c r="A238" s="196" t="str">
        <f t="shared" si="72"/>
        <v>Svinekød</v>
      </c>
      <c r="B238" s="196" t="str">
        <f t="shared" si="73"/>
        <v/>
      </c>
      <c r="C238" s="196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6">
        <f t="shared" si="58"/>
        <v>2030</v>
      </c>
      <c r="E238" s="194" t="s">
        <v>25</v>
      </c>
      <c r="F238" s="197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74804.649769203446</v>
      </c>
      <c r="G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4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52763.219924773963</v>
      </c>
      <c r="J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7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9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6">
        <f t="shared" si="62"/>
        <v>22041.429844429484</v>
      </c>
      <c r="O238" s="197">
        <f t="shared" si="59"/>
        <v>0</v>
      </c>
      <c r="P238" s="207">
        <f t="shared" si="63"/>
        <v>0</v>
      </c>
      <c r="Q238" s="194">
        <f>IFERROR(VLOOKUP(A238,[1]Energiindhold!$A$2:$C$11,3,FALSE),IFERROR(VLOOKUP(A238,[1]Biogasudbytte!$A$2:$B$18,2,FALSE)*[1]Energiindhold!$C$10,0))*O238</f>
        <v>0</v>
      </c>
      <c r="R238" s="194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4">
        <f>IFERROR(VLOOKUP(A238,[1]Biogasudbytte!$A$2:$B$18,2,FALSE)*[1]Energiindhold!$C$10,0)*J238*IFERROR(VLOOKUP(A238,Biogasanlæg!$F$3:$G$8,2,FALSE),1)</f>
        <v>0</v>
      </c>
      <c r="T238" s="195">
        <f t="shared" si="64"/>
        <v>0</v>
      </c>
      <c r="U238" s="193">
        <f>O238*IFERROR(VLOOKUP(A238,[1]Tørstofindhold!A$2:B$25,2,FALSE),0)</f>
        <v>0</v>
      </c>
      <c r="V238" s="194">
        <f>IF(D238=År1,P238,SUM(O238,P238))*IFERROR(VLOOKUP(A238,[1]Tørstofindhold!A$2:B$25,2,FALSE),0)</f>
        <v>0</v>
      </c>
      <c r="W238" s="194">
        <f>J238*IFERROR(VLOOKUP(A238,[1]Tørstofindhold!A$2:B$25,2,FALSE),0)</f>
        <v>0</v>
      </c>
      <c r="X238" s="195">
        <f t="shared" si="65"/>
        <v>0</v>
      </c>
      <c r="Y238" s="173">
        <f t="shared" si="60"/>
        <v>0</v>
      </c>
      <c r="Z238" s="104">
        <f t="shared" si="61"/>
        <v>1</v>
      </c>
    </row>
    <row r="239" spans="1:26" hidden="1" x14ac:dyDescent="0.25">
      <c r="A239" s="196" t="str">
        <f t="shared" si="72"/>
        <v>Tang</v>
      </c>
      <c r="B239" s="196" t="str">
        <f t="shared" si="73"/>
        <v>Havbiomasse</v>
      </c>
      <c r="C239" s="196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6">
        <f t="shared" si="58"/>
        <v>2030</v>
      </c>
      <c r="E239" s="194" t="s">
        <v>25</v>
      </c>
      <c r="F239" s="197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596.93974470220587</v>
      </c>
      <c r="H239" s="194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7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9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6">
        <f t="shared" si="62"/>
        <v>3903.0602552977944</v>
      </c>
      <c r="O239" s="197">
        <f t="shared" si="59"/>
        <v>3903.0602552977944</v>
      </c>
      <c r="P239" s="207">
        <f t="shared" si="63"/>
        <v>0</v>
      </c>
      <c r="Q239" s="194">
        <f>IFERROR(VLOOKUP(A239,[1]Energiindhold!$A$2:$C$11,3,FALSE),IFERROR(VLOOKUP(A239,[1]Biogasudbytte!$A$2:$B$18,2,FALSE)*[1]Energiindhold!$C$10,0))*O239</f>
        <v>3.5029965791297706E-3</v>
      </c>
      <c r="R239" s="194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3.5029965791297706E-3</v>
      </c>
      <c r="S239" s="194">
        <f>IFERROR(VLOOKUP(A239,[1]Biogasudbytte!$A$2:$B$18,2,FALSE)*[1]Energiindhold!$C$10,0)*J239*IFERROR(VLOOKUP(A239,Biogasanlæg!$F$3:$G$8,2,FALSE),1)</f>
        <v>0</v>
      </c>
      <c r="T239" s="195">
        <f t="shared" si="64"/>
        <v>3.5029965791297706E-3</v>
      </c>
      <c r="U239" s="193">
        <f>O239*IFERROR(VLOOKUP(A239,[1]Tørstofindhold!A$2:B$25,2,FALSE),0)</f>
        <v>585.45903829466909</v>
      </c>
      <c r="V239" s="194">
        <f>IF(D239=År1,P239,SUM(O239,P239))*IFERROR(VLOOKUP(A239,[1]Tørstofindhold!A$2:B$25,2,FALSE),0)</f>
        <v>585.45903829466909</v>
      </c>
      <c r="W239" s="194">
        <f>J239*IFERROR(VLOOKUP(A239,[1]Tørstofindhold!A$2:B$25,2,FALSE),0)</f>
        <v>0</v>
      </c>
      <c r="X239" s="195">
        <f t="shared" si="65"/>
        <v>585.45903829466909</v>
      </c>
      <c r="Y239" s="173">
        <f t="shared" si="60"/>
        <v>0</v>
      </c>
      <c r="Z239" s="104">
        <f t="shared" si="61"/>
        <v>1</v>
      </c>
    </row>
    <row r="240" spans="1:26" hidden="1" x14ac:dyDescent="0.25">
      <c r="A240" s="196" t="str">
        <f t="shared" si="72"/>
        <v>Total til biogas</v>
      </c>
      <c r="B240" s="196" t="str">
        <f t="shared" si="73"/>
        <v/>
      </c>
      <c r="C240" s="196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6">
        <f t="shared" si="58"/>
        <v>2030</v>
      </c>
      <c r="E240" s="194" t="s">
        <v>25</v>
      </c>
      <c r="F240" s="197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4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7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9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6">
        <f t="shared" si="62"/>
        <v>0</v>
      </c>
      <c r="O240" s="197">
        <f t="shared" si="59"/>
        <v>0</v>
      </c>
      <c r="P240" s="207">
        <f t="shared" si="63"/>
        <v>0</v>
      </c>
      <c r="Q240" s="194">
        <f>IFERROR(VLOOKUP(A240,[1]Energiindhold!$A$2:$C$11,3,FALSE),IFERROR(VLOOKUP(A240,[1]Biogasudbytte!$A$2:$B$18,2,FALSE)*[1]Energiindhold!$C$10,0))*O240</f>
        <v>0</v>
      </c>
      <c r="R240" s="194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4">
        <f>IFERROR(VLOOKUP(A240,[1]Biogasudbytte!$A$2:$B$18,2,FALSE)*[1]Energiindhold!$C$10,0)*J240*IFERROR(VLOOKUP(A240,Biogasanlæg!$F$3:$G$8,2,FALSE),1)</f>
        <v>0</v>
      </c>
      <c r="T240" s="195">
        <f t="shared" si="64"/>
        <v>0</v>
      </c>
      <c r="U240" s="193">
        <f>O240*IFERROR(VLOOKUP(A240,[1]Tørstofindhold!A$2:B$25,2,FALSE),0)</f>
        <v>0</v>
      </c>
      <c r="V240" s="194">
        <f>IF(D240=År1,P240,SUM(O240,P240))*IFERROR(VLOOKUP(A240,[1]Tørstofindhold!A$2:B$25,2,FALSE),0)</f>
        <v>0</v>
      </c>
      <c r="W240" s="194">
        <f>J240*IFERROR(VLOOKUP(A240,[1]Tørstofindhold!A$2:B$25,2,FALSE),0)</f>
        <v>0</v>
      </c>
      <c r="X240" s="195">
        <f t="shared" si="65"/>
        <v>0</v>
      </c>
      <c r="Y240" s="173">
        <f t="shared" si="60"/>
        <v>0</v>
      </c>
      <c r="Z240" s="104">
        <f t="shared" si="61"/>
        <v>0</v>
      </c>
    </row>
    <row r="241" spans="1:26" hidden="1" x14ac:dyDescent="0.25">
      <c r="A241" s="196" t="str">
        <f t="shared" si="72"/>
        <v>Træ til energi</v>
      </c>
      <c r="B241" s="196" t="str">
        <f t="shared" si="73"/>
        <v>Vedmasse</v>
      </c>
      <c r="C241" s="196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6">
        <f t="shared" si="58"/>
        <v>2030</v>
      </c>
      <c r="E241" s="194" t="s">
        <v>25</v>
      </c>
      <c r="F241" s="197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4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7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9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6">
        <f t="shared" si="62"/>
        <v>0</v>
      </c>
      <c r="O241" s="197">
        <f t="shared" si="59"/>
        <v>0</v>
      </c>
      <c r="P241" s="207">
        <f t="shared" si="63"/>
        <v>645037.98201828008</v>
      </c>
      <c r="Q241" s="194">
        <f>IFERROR(VLOOKUP(A241,[1]Energiindhold!$A$2:$C$11,3,FALSE),IFERROR(VLOOKUP(A241,[1]Biogasudbytte!$A$2:$B$18,2,FALSE)*[1]Energiindhold!$C$10,0))*O241</f>
        <v>0</v>
      </c>
      <c r="R241" s="194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4">
        <f>IFERROR(VLOOKUP(A241,[1]Biogasudbytte!$A$2:$B$18,2,FALSE)*[1]Energiindhold!$C$10,0)*J241*IFERROR(VLOOKUP(A241,Biogasanlæg!$F$3:$G$8,2,FALSE),1)</f>
        <v>0</v>
      </c>
      <c r="T241" s="195">
        <f t="shared" si="64"/>
        <v>9.3489024359990136</v>
      </c>
      <c r="U241" s="193">
        <f>O241*IFERROR(VLOOKUP(A241,[1]Tørstofindhold!A$2:B$25,2,FALSE),0)</f>
        <v>0</v>
      </c>
      <c r="V241" s="194">
        <f>IF(D241=År1,P241,SUM(O241,P241))*IFERROR(VLOOKUP(A241,[1]Tørstofindhold!A$2:B$25,2,FALSE),0)</f>
        <v>319025.0352732077</v>
      </c>
      <c r="W241" s="194">
        <f>J241*IFERROR(VLOOKUP(A241,[1]Tørstofindhold!A$2:B$25,2,FALSE),0)</f>
        <v>0</v>
      </c>
      <c r="X241" s="195">
        <f t="shared" si="65"/>
        <v>319025.0352732077</v>
      </c>
      <c r="Y241" s="173">
        <f t="shared" si="60"/>
        <v>0</v>
      </c>
      <c r="Z241" s="104">
        <f t="shared" si="61"/>
        <v>0</v>
      </c>
    </row>
    <row r="242" spans="1:26" hidden="1" x14ac:dyDescent="0.25">
      <c r="A242" s="196" t="str">
        <f t="shared" si="72"/>
        <v>Træmaterialer</v>
      </c>
      <c r="B242" s="196" t="str">
        <f t="shared" si="73"/>
        <v/>
      </c>
      <c r="C242" s="196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6">
        <f t="shared" si="58"/>
        <v>2030</v>
      </c>
      <c r="E242" s="194" t="s">
        <v>25</v>
      </c>
      <c r="F242" s="197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4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7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9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6">
        <f t="shared" si="62"/>
        <v>177359.22120275494</v>
      </c>
      <c r="O242" s="197">
        <f t="shared" si="59"/>
        <v>0</v>
      </c>
      <c r="P242" s="207">
        <f t="shared" si="63"/>
        <v>0</v>
      </c>
      <c r="Q242" s="194">
        <f>IFERROR(VLOOKUP(A242,[1]Energiindhold!$A$2:$C$11,3,FALSE),IFERROR(VLOOKUP(A242,[1]Biogasudbytte!$A$2:$B$18,2,FALSE)*[1]Energiindhold!$C$10,0))*O242</f>
        <v>0</v>
      </c>
      <c r="R242" s="194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4">
        <f>IFERROR(VLOOKUP(A242,[1]Biogasudbytte!$A$2:$B$18,2,FALSE)*[1]Energiindhold!$C$10,0)*J242*IFERROR(VLOOKUP(A242,Biogasanlæg!$F$3:$G$8,2,FALSE),1)</f>
        <v>0</v>
      </c>
      <c r="T242" s="195">
        <f t="shared" si="64"/>
        <v>0</v>
      </c>
      <c r="U242" s="193">
        <f>O242*IFERROR(VLOOKUP(A242,[1]Tørstofindhold!A$2:B$25,2,FALSE),0)</f>
        <v>0</v>
      </c>
      <c r="V242" s="194">
        <f>IF(D242=År1,P242,SUM(O242,P242))*IFERROR(VLOOKUP(A242,[1]Tørstofindhold!A$2:B$25,2,FALSE),0)</f>
        <v>0</v>
      </c>
      <c r="W242" s="194">
        <f>J242*IFERROR(VLOOKUP(A242,[1]Tørstofindhold!A$2:B$25,2,FALSE),0)</f>
        <v>0</v>
      </c>
      <c r="X242" s="195">
        <f t="shared" si="65"/>
        <v>0</v>
      </c>
      <c r="Y242" s="173">
        <f t="shared" si="60"/>
        <v>0</v>
      </c>
      <c r="Z242" s="104">
        <f t="shared" si="61"/>
        <v>1</v>
      </c>
    </row>
    <row r="243" spans="1:26" hidden="1" x14ac:dyDescent="0.25">
      <c r="A243" s="196" t="str">
        <f t="shared" si="72"/>
        <v>Æg</v>
      </c>
      <c r="B243" s="196" t="str">
        <f t="shared" si="73"/>
        <v/>
      </c>
      <c r="C243" s="196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6">
        <f t="shared" ref="D243:D281" si="74">År3</f>
        <v>2050</v>
      </c>
      <c r="E243" s="194" t="s">
        <v>25</v>
      </c>
      <c r="F243" s="197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840.73625530320862</v>
      </c>
      <c r="G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4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7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9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6">
        <f t="shared" si="62"/>
        <v>-28691.265764798747</v>
      </c>
      <c r="O243" s="197">
        <f t="shared" si="59"/>
        <v>0</v>
      </c>
      <c r="P243" s="207">
        <f t="shared" si="63"/>
        <v>0</v>
      </c>
      <c r="Q243" s="194">
        <f>IFERROR(VLOOKUP(A243,[1]Energiindhold!$A$2:$C$11,3,FALSE),IFERROR(VLOOKUP(A243,[1]Biogasudbytte!$A$2:$B$18,2,FALSE)*[1]Energiindhold!$C$10,0))*O243</f>
        <v>0</v>
      </c>
      <c r="R243" s="194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4">
        <f>IFERROR(VLOOKUP(A243,[1]Biogasudbytte!$A$2:$B$18,2,FALSE)*[1]Energiindhold!$C$10,0)*J243*IFERROR(VLOOKUP(A243,Biogasanlæg!$F$3:$G$8,2,FALSE),1)</f>
        <v>0</v>
      </c>
      <c r="T243" s="195">
        <f t="shared" si="64"/>
        <v>0</v>
      </c>
      <c r="U243" s="193">
        <f>O243*IFERROR(VLOOKUP(A243,[1]Tørstofindhold!A$2:B$25,2,FALSE),0)</f>
        <v>0</v>
      </c>
      <c r="V243" s="194">
        <f>IF(D243=År1,P243,SUM(O243,P243))*IFERROR(VLOOKUP(A243,[1]Tørstofindhold!A$2:B$25,2,FALSE),0)</f>
        <v>0</v>
      </c>
      <c r="W243" s="194">
        <f>J243*IFERROR(VLOOKUP(A243,[1]Tørstofindhold!A$2:B$25,2,FALSE),0)</f>
        <v>0</v>
      </c>
      <c r="X243" s="195">
        <f t="shared" si="65"/>
        <v>0</v>
      </c>
      <c r="Y243" s="173">
        <f t="shared" si="60"/>
        <v>1</v>
      </c>
      <c r="Z243" s="104">
        <f t="shared" si="61"/>
        <v>0</v>
      </c>
    </row>
    <row r="244" spans="1:26" hidden="1" x14ac:dyDescent="0.25">
      <c r="A244" s="196" t="str">
        <f t="shared" si="72"/>
        <v>Bælgsæd</v>
      </c>
      <c r="B244" s="196" t="str">
        <f t="shared" si="73"/>
        <v/>
      </c>
      <c r="C244" s="196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6">
        <f t="shared" si="74"/>
        <v>2050</v>
      </c>
      <c r="E244" s="194" t="s">
        <v>25</v>
      </c>
      <c r="F244" s="197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12303.077662840105</v>
      </c>
      <c r="G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791.66167537400975</v>
      </c>
      <c r="H244" s="194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196880.01346734638</v>
      </c>
      <c r="J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7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9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6">
        <f t="shared" si="62"/>
        <v>-185368.59747988029</v>
      </c>
      <c r="O244" s="197">
        <f t="shared" si="59"/>
        <v>0</v>
      </c>
      <c r="P244" s="207">
        <f t="shared" si="63"/>
        <v>0</v>
      </c>
      <c r="Q244" s="194">
        <f>IFERROR(VLOOKUP(A244,[1]Energiindhold!$A$2:$C$11,3,FALSE),IFERROR(VLOOKUP(A244,[1]Biogasudbytte!$A$2:$B$18,2,FALSE)*[1]Energiindhold!$C$10,0))*O244</f>
        <v>0</v>
      </c>
      <c r="R244" s="194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4">
        <f>IFERROR(VLOOKUP(A244,[1]Biogasudbytte!$A$2:$B$18,2,FALSE)*[1]Energiindhold!$C$10,0)*J244*IFERROR(VLOOKUP(A244,Biogasanlæg!$F$3:$G$8,2,FALSE),1)</f>
        <v>0</v>
      </c>
      <c r="T244" s="195">
        <f t="shared" si="64"/>
        <v>0</v>
      </c>
      <c r="U244" s="193">
        <f>O244*IFERROR(VLOOKUP(A244,[1]Tørstofindhold!A$2:B$25,2,FALSE),0)</f>
        <v>0</v>
      </c>
      <c r="V244" s="194">
        <f>IF(D244=År1,P244,SUM(O244,P244))*IFERROR(VLOOKUP(A244,[1]Tørstofindhold!A$2:B$25,2,FALSE),0)</f>
        <v>0</v>
      </c>
      <c r="W244" s="194">
        <f>J244*IFERROR(VLOOKUP(A244,[1]Tørstofindhold!A$2:B$25,2,FALSE),0)</f>
        <v>0</v>
      </c>
      <c r="X244" s="195">
        <f t="shared" si="65"/>
        <v>0</v>
      </c>
      <c r="Y244" s="173">
        <f t="shared" si="60"/>
        <v>0</v>
      </c>
      <c r="Z244" s="104">
        <f t="shared" si="61"/>
        <v>1</v>
      </c>
    </row>
    <row r="245" spans="1:26" hidden="1" x14ac:dyDescent="0.25">
      <c r="A245" s="196" t="str">
        <f t="shared" si="72"/>
        <v>Bioaffald</v>
      </c>
      <c r="B245" s="196" t="str">
        <f t="shared" si="73"/>
        <v>Bionedbrydeligt affald</v>
      </c>
      <c r="C245" s="196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6">
        <f t="shared" si="74"/>
        <v>2050</v>
      </c>
      <c r="E245" s="194" t="s">
        <v>25</v>
      </c>
      <c r="F245" s="197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0</v>
      </c>
      <c r="G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4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7" t="e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#REF!</v>
      </c>
      <c r="K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7" t="e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#REF!</v>
      </c>
      <c r="M245" s="159" t="e">
        <f ca="1">SUMIFS('Forbrug af biomasse'!E:E,'Forbrug af biomasse'!C:C,'Resultat-Produktion &amp; forbrug'!$A245,'Forbrug af biomasse'!D:D,'Resultat-Produktion &amp; forbrug'!$D245,'Forbrug af biomasse'!G:G,1,'Forbrug af biomasse'!B:B,$E245)</f>
        <v>#REF!</v>
      </c>
      <c r="N245" s="206" t="e">
        <f t="shared" ca="1" si="62"/>
        <v>#REF!</v>
      </c>
      <c r="O245" s="197" t="e">
        <f t="shared" ca="1" si="59"/>
        <v>#REF!</v>
      </c>
      <c r="P245" s="207" t="e">
        <f t="shared" ca="1" si="63"/>
        <v>#REF!</v>
      </c>
      <c r="Q245" s="194" t="e">
        <f ca="1">IFERROR(VLOOKUP(A245,[1]Energiindhold!$A$2:$C$11,3,FALSE),IFERROR(VLOOKUP(A245,[1]Biogasudbytte!$A$2:$B$18,2,FALSE)*[1]Energiindhold!$C$10,0))*O245</f>
        <v>#REF!</v>
      </c>
      <c r="R245" s="194" t="e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#REF!</v>
      </c>
      <c r="S245" s="194" t="e">
        <f ca="1">IFERROR(VLOOKUP(A245,[1]Biogasudbytte!$A$2:$B$18,2,FALSE)*[1]Energiindhold!$C$10,0)*J245*IFERROR(VLOOKUP(A245,Biogasanlæg!$F$3:$G$8,2,FALSE),1)</f>
        <v>#REF!</v>
      </c>
      <c r="T245" s="195" t="e">
        <f t="shared" ca="1" si="64"/>
        <v>#REF!</v>
      </c>
      <c r="U245" s="193" t="e">
        <f ca="1">O245*IFERROR(VLOOKUP(A245,[1]Tørstofindhold!A$2:B$25,2,FALSE),0)</f>
        <v>#REF!</v>
      </c>
      <c r="V245" s="194" t="e">
        <f ca="1">IF(D245=År1,P245,SUM(O245,P245))*IFERROR(VLOOKUP(A245,[1]Tørstofindhold!A$2:B$25,2,FALSE),0)</f>
        <v>#REF!</v>
      </c>
      <c r="W245" s="194" t="e">
        <f ca="1">J245*IFERROR(VLOOKUP(A245,[1]Tørstofindhold!A$2:B$25,2,FALSE),0)</f>
        <v>#REF!</v>
      </c>
      <c r="X245" s="195" t="e">
        <f t="shared" ca="1" si="65"/>
        <v>#REF!</v>
      </c>
      <c r="Y245" s="173" t="e">
        <f t="shared" ca="1" si="60"/>
        <v>#REF!</v>
      </c>
      <c r="Z245" s="104" t="e">
        <f t="shared" ca="1" si="61"/>
        <v>#REF!</v>
      </c>
    </row>
    <row r="246" spans="1:26" hidden="1" x14ac:dyDescent="0.25">
      <c r="A246" s="196" t="str">
        <f t="shared" si="72"/>
        <v>Biogas</v>
      </c>
      <c r="B246" s="196" t="str">
        <f t="shared" si="73"/>
        <v/>
      </c>
      <c r="C246" s="196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6">
        <f t="shared" si="74"/>
        <v>2050</v>
      </c>
      <c r="E246" s="194" t="s">
        <v>25</v>
      </c>
      <c r="F246" s="197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21554105.414743334</v>
      </c>
      <c r="G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4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7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21554105.414743334</v>
      </c>
      <c r="M246" s="159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6">
        <f t="shared" ca="1" si="62"/>
        <v>0</v>
      </c>
      <c r="O246" s="197">
        <f t="shared" ca="1" si="59"/>
        <v>0</v>
      </c>
      <c r="P246" s="207">
        <f t="shared" ca="1" si="63"/>
        <v>21554105.414743334</v>
      </c>
      <c r="Q246" s="194">
        <f ca="1">IFERROR(VLOOKUP(A246,[1]Energiindhold!$A$2:$C$11,3,FALSE),IFERROR(VLOOKUP(A246,[1]Biogasudbytte!$A$2:$B$18,2,FALSE)*[1]Energiindhold!$C$10,0))*O246</f>
        <v>0</v>
      </c>
      <c r="R246" s="194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4">
        <f>IFERROR(VLOOKUP(A246,[1]Biogasudbytte!$A$2:$B$18,2,FALSE)*[1]Energiindhold!$C$10,0)*J246*IFERROR(VLOOKUP(A246,Biogasanlæg!$F$3:$G$8,2,FALSE),1)</f>
        <v>0</v>
      </c>
      <c r="T246" s="195">
        <f t="shared" si="64"/>
        <v>0</v>
      </c>
      <c r="U246" s="193">
        <f ca="1">O246*IFERROR(VLOOKUP(A246,[1]Tørstofindhold!A$2:B$25,2,FALSE),0)</f>
        <v>0</v>
      </c>
      <c r="V246" s="194">
        <f ca="1">IF(D246=År1,P246,SUM(O246,P246))*IFERROR(VLOOKUP(A246,[1]Tørstofindhold!A$2:B$25,2,FALSE),0)</f>
        <v>0</v>
      </c>
      <c r="W246" s="194">
        <f>J246*IFERROR(VLOOKUP(A246,[1]Tørstofindhold!A$2:B$25,2,FALSE),0)</f>
        <v>0</v>
      </c>
      <c r="X246" s="195">
        <f t="shared" ca="1" si="65"/>
        <v>0</v>
      </c>
      <c r="Y246" s="173">
        <f t="shared" ca="1" si="60"/>
        <v>0</v>
      </c>
      <c r="Z246" s="104">
        <f t="shared" ca="1" si="61"/>
        <v>0</v>
      </c>
    </row>
    <row r="247" spans="1:26" hidden="1" x14ac:dyDescent="0.25">
      <c r="A247" s="196" t="str">
        <f t="shared" si="72"/>
        <v>Biogasgylle</v>
      </c>
      <c r="B247" s="196" t="str">
        <f t="shared" si="73"/>
        <v/>
      </c>
      <c r="C247" s="196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6">
        <f t="shared" si="74"/>
        <v>2050</v>
      </c>
      <c r="E247" s="194" t="s">
        <v>25</v>
      </c>
      <c r="F247" s="197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0</v>
      </c>
      <c r="G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4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7" t="e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#REF!</v>
      </c>
      <c r="L247" s="197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9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6" t="e">
        <f t="shared" ca="1" si="62"/>
        <v>#REF!</v>
      </c>
      <c r="O247" s="197">
        <f t="shared" si="59"/>
        <v>0</v>
      </c>
      <c r="P247" s="207">
        <f t="shared" si="63"/>
        <v>0</v>
      </c>
      <c r="Q247" s="194">
        <f>IFERROR(VLOOKUP(A247,[1]Energiindhold!$A$2:$C$11,3,FALSE),IFERROR(VLOOKUP(A247,[1]Biogasudbytte!$A$2:$B$18,2,FALSE)*[1]Energiindhold!$C$10,0))*O247</f>
        <v>0</v>
      </c>
      <c r="R247" s="194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4">
        <f>IFERROR(VLOOKUP(A247,[1]Biogasudbytte!$A$2:$B$18,2,FALSE)*[1]Energiindhold!$C$10,0)*J247*IFERROR(VLOOKUP(A247,Biogasanlæg!$F$3:$G$8,2,FALSE),1)</f>
        <v>0</v>
      </c>
      <c r="T247" s="195">
        <f t="shared" si="64"/>
        <v>0</v>
      </c>
      <c r="U247" s="193">
        <f>O247*IFERROR(VLOOKUP(A247,[1]Tørstofindhold!A$2:B$25,2,FALSE),0)</f>
        <v>0</v>
      </c>
      <c r="V247" s="194">
        <f>IF(D247=År1,P247,SUM(O247,P247))*IFERROR(VLOOKUP(A247,[1]Tørstofindhold!A$2:B$25,2,FALSE),0)</f>
        <v>0</v>
      </c>
      <c r="W247" s="194">
        <f>J247*IFERROR(VLOOKUP(A247,[1]Tørstofindhold!A$2:B$25,2,FALSE),0)</f>
        <v>0</v>
      </c>
      <c r="X247" s="195">
        <f t="shared" si="65"/>
        <v>0</v>
      </c>
      <c r="Y247" s="173" t="e">
        <f t="shared" ca="1" si="60"/>
        <v>#REF!</v>
      </c>
      <c r="Z247" s="104" t="e">
        <f t="shared" ca="1" si="61"/>
        <v>#REF!</v>
      </c>
    </row>
    <row r="248" spans="1:26" hidden="1" x14ac:dyDescent="0.25">
      <c r="A248" s="196" t="str">
        <f t="shared" si="72"/>
        <v>Brun saft</v>
      </c>
      <c r="B248" s="196" t="str">
        <f t="shared" si="73"/>
        <v>Bionedbrydeligt affald</v>
      </c>
      <c r="C248" s="196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6">
        <f t="shared" si="74"/>
        <v>2050</v>
      </c>
      <c r="E248" s="194" t="s">
        <v>25</v>
      </c>
      <c r="F248" s="197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46598.118532828979</v>
      </c>
      <c r="G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4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9319.623706565797</v>
      </c>
      <c r="K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7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9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6">
        <f t="shared" si="62"/>
        <v>37278.494826263181</v>
      </c>
      <c r="O248" s="197">
        <f t="shared" si="59"/>
        <v>37278.494826263181</v>
      </c>
      <c r="P248" s="207">
        <f t="shared" si="63"/>
        <v>9319.623706565797</v>
      </c>
      <c r="Q248" s="194">
        <f>IFERROR(VLOOKUP(A248,[1]Energiindhold!$A$2:$C$11,3,FALSE),IFERROR(VLOOKUP(A248,[1]Biogasudbytte!$A$2:$B$18,2,FALSE)*[1]Energiindhold!$C$10,0))*O248</f>
        <v>2.1175157170360122E-2</v>
      </c>
      <c r="R248" s="194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2.6468946462950154E-2</v>
      </c>
      <c r="S248" s="194">
        <f>IFERROR(VLOOKUP(A248,[1]Biogasudbytte!$A$2:$B$18,2,FALSE)*[1]Energiindhold!$C$10,0)*J248*IFERROR(VLOOKUP(A248,Biogasanlæg!$F$3:$G$8,2,FALSE),1)</f>
        <v>5.2937892925900313E-3</v>
      </c>
      <c r="T248" s="195">
        <f t="shared" si="64"/>
        <v>2.1175157170360122E-2</v>
      </c>
      <c r="U248" s="193">
        <f>O248*IFERROR(VLOOKUP(A248,[1]Tørstofindhold!A$2:B$25,2,FALSE),0)</f>
        <v>1594.1547218520002</v>
      </c>
      <c r="V248" s="194">
        <f>IF(D248=År1,P248,SUM(O248,P248))*IFERROR(VLOOKUP(A248,[1]Tørstofindhold!A$2:B$25,2,FALSE),0)</f>
        <v>1992.6934023150004</v>
      </c>
      <c r="W248" s="194">
        <f>J248*IFERROR(VLOOKUP(A248,[1]Tørstofindhold!A$2:B$25,2,FALSE),0)</f>
        <v>398.53868046300011</v>
      </c>
      <c r="X248" s="195">
        <f t="shared" si="65"/>
        <v>1594.1547218520004</v>
      </c>
      <c r="Y248" s="173">
        <f t="shared" si="60"/>
        <v>0</v>
      </c>
      <c r="Z248" s="104">
        <f t="shared" si="61"/>
        <v>1</v>
      </c>
    </row>
    <row r="249" spans="1:26" hidden="1" x14ac:dyDescent="0.25">
      <c r="A249" s="196" t="str">
        <f t="shared" si="72"/>
        <v>Dybstrøelse</v>
      </c>
      <c r="B249" s="196" t="str">
        <f t="shared" si="73"/>
        <v>Husdyrgødning</v>
      </c>
      <c r="C249" s="196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6">
        <f t="shared" si="74"/>
        <v>2050</v>
      </c>
      <c r="E249" s="194" t="s">
        <v>25</v>
      </c>
      <c r="F249" s="197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77010.667859618014</v>
      </c>
      <c r="G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4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38449.746444112672</v>
      </c>
      <c r="K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14555.975439556938</v>
      </c>
      <c r="L249" s="197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9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6">
        <f t="shared" si="62"/>
        <v>24004.945975948402</v>
      </c>
      <c r="O249" s="197">
        <f t="shared" si="59"/>
        <v>24004.945975948402</v>
      </c>
      <c r="P249" s="207">
        <f t="shared" si="63"/>
        <v>38449.746444112672</v>
      </c>
      <c r="Q249" s="194">
        <f>IFERROR(VLOOKUP(A249,[1]Energiindhold!$A$2:$C$11,3,FALSE),IFERROR(VLOOKUP(A249,[1]Biogasudbytte!$A$2:$B$18,2,FALSE)*[1]Energiindhold!$C$10,0))*O249</f>
        <v>5.1706653632192859E-2</v>
      </c>
      <c r="R249" s="194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0.13452740747281156</v>
      </c>
      <c r="S249" s="194">
        <f>IFERROR(VLOOKUP(A249,[1]Biogasudbytte!$A$2:$B$18,2,FALSE)*[1]Energiindhold!$C$10,0)*J249*IFERROR(VLOOKUP(A249,Biogasanlæg!$F$3:$G$8,2,FALSE),1)</f>
        <v>8.2820753840618697E-2</v>
      </c>
      <c r="T249" s="195">
        <f t="shared" si="64"/>
        <v>5.1706653632192859E-2</v>
      </c>
      <c r="U249" s="193">
        <f>O249*IFERROR(VLOOKUP(A249,[1]Tørstofindhold!A$2:B$25,2,FALSE),0)</f>
        <v>7201.4837927845201</v>
      </c>
      <c r="V249" s="194">
        <f>IF(D249=År1,P249,SUM(O249,P249))*IFERROR(VLOOKUP(A249,[1]Tørstofindhold!A$2:B$25,2,FALSE),0)</f>
        <v>18736.407726018322</v>
      </c>
      <c r="W249" s="194">
        <f>J249*IFERROR(VLOOKUP(A249,[1]Tørstofindhold!A$2:B$25,2,FALSE),0)</f>
        <v>11534.923933233802</v>
      </c>
      <c r="X249" s="195">
        <f t="shared" si="65"/>
        <v>7201.4837927845201</v>
      </c>
      <c r="Y249" s="173">
        <f t="shared" si="60"/>
        <v>0</v>
      </c>
      <c r="Z249" s="104">
        <f t="shared" si="61"/>
        <v>1</v>
      </c>
    </row>
    <row r="250" spans="1:26" hidden="1" x14ac:dyDescent="0.25">
      <c r="A250" s="196" t="str">
        <f t="shared" si="72"/>
        <v>Fiberfraktion</v>
      </c>
      <c r="B250" s="196" t="str">
        <f t="shared" si="73"/>
        <v/>
      </c>
      <c r="C250" s="196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6">
        <f t="shared" si="74"/>
        <v>2050</v>
      </c>
      <c r="E250" s="194" t="s">
        <v>25</v>
      </c>
      <c r="F250" s="197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32820.832508717656</v>
      </c>
      <c r="G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4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7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9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6">
        <f t="shared" si="62"/>
        <v>32820.832508717656</v>
      </c>
      <c r="O250" s="197">
        <f t="shared" si="59"/>
        <v>0</v>
      </c>
      <c r="P250" s="207">
        <f t="shared" si="63"/>
        <v>0</v>
      </c>
      <c r="Q250" s="194">
        <f>IFERROR(VLOOKUP(A250,[1]Energiindhold!$A$2:$C$11,3,FALSE),IFERROR(VLOOKUP(A250,[1]Biogasudbytte!$A$2:$B$18,2,FALSE)*[1]Energiindhold!$C$10,0))*O250</f>
        <v>0</v>
      </c>
      <c r="R250" s="194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4">
        <f>IFERROR(VLOOKUP(A250,[1]Biogasudbytte!$A$2:$B$18,2,FALSE)*[1]Energiindhold!$C$10,0)*J250*IFERROR(VLOOKUP(A250,Biogasanlæg!$F$3:$G$8,2,FALSE),1)</f>
        <v>0</v>
      </c>
      <c r="T250" s="195">
        <f t="shared" si="64"/>
        <v>0</v>
      </c>
      <c r="U250" s="193">
        <f>O250*IFERROR(VLOOKUP(A250,[1]Tørstofindhold!A$2:B$25,2,FALSE),0)</f>
        <v>0</v>
      </c>
      <c r="V250" s="194">
        <f>IF(D250=År1,P250,SUM(O250,P250))*IFERROR(VLOOKUP(A250,[1]Tørstofindhold!A$2:B$25,2,FALSE),0)</f>
        <v>0</v>
      </c>
      <c r="W250" s="194">
        <f>J250*IFERROR(VLOOKUP(A250,[1]Tørstofindhold!A$2:B$25,2,FALSE),0)</f>
        <v>0</v>
      </c>
      <c r="X250" s="195">
        <f t="shared" si="65"/>
        <v>0</v>
      </c>
      <c r="Y250" s="173">
        <f t="shared" si="60"/>
        <v>0</v>
      </c>
      <c r="Z250" s="104">
        <f t="shared" si="61"/>
        <v>1</v>
      </c>
    </row>
    <row r="251" spans="1:26" hidden="1" x14ac:dyDescent="0.25">
      <c r="A251" s="196" t="str">
        <f t="shared" si="72"/>
        <v>Fjerkrægylle</v>
      </c>
      <c r="B251" s="196" t="str">
        <f t="shared" si="73"/>
        <v>Husdyrgødning</v>
      </c>
      <c r="C251" s="196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6">
        <f t="shared" si="74"/>
        <v>2050</v>
      </c>
      <c r="E251" s="194" t="s">
        <v>25</v>
      </c>
      <c r="F251" s="197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121.27767309664802</v>
      </c>
      <c r="G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4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59.766906840866696</v>
      </c>
      <c r="K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45.252086608084781</v>
      </c>
      <c r="L251" s="197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9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6">
        <f t="shared" si="62"/>
        <v>16.258679647696539</v>
      </c>
      <c r="O251" s="197">
        <f t="shared" si="59"/>
        <v>16.258679647696539</v>
      </c>
      <c r="P251" s="207">
        <f t="shared" si="63"/>
        <v>59.766906840866696</v>
      </c>
      <c r="Q251" s="194">
        <f>IFERROR(VLOOKUP(A251,[1]Energiindhold!$A$2:$C$11,3,FALSE),IFERROR(VLOOKUP(A251,[1]Biogasudbytte!$A$2:$B$18,2,FALSE)*[1]Energiindhold!$C$10,0))*O251</f>
        <v>7.6462944515152055E-6</v>
      </c>
      <c r="R251" s="194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3.5754073069706404E-5</v>
      </c>
      <c r="S251" s="194">
        <f>IFERROR(VLOOKUP(A251,[1]Biogasudbytte!$A$2:$B$18,2,FALSE)*[1]Energiindhold!$C$10,0)*J251*IFERROR(VLOOKUP(A251,Biogasanlæg!$F$3:$G$8,2,FALSE),1)</f>
        <v>2.81077786181912E-5</v>
      </c>
      <c r="T251" s="195">
        <f t="shared" si="64"/>
        <v>7.6462944515152038E-6</v>
      </c>
      <c r="U251" s="193">
        <f>O251*IFERROR(VLOOKUP(A251,[1]Tørstofindhold!A$2:B$25,2,FALSE),0)</f>
        <v>1.0242968178048819</v>
      </c>
      <c r="V251" s="194">
        <f>IF(D251=År1,P251,SUM(O251,P251))*IFERROR(VLOOKUP(A251,[1]Tørstofindhold!A$2:B$25,2,FALSE),0)</f>
        <v>4.7896119487794842</v>
      </c>
      <c r="W251" s="194">
        <f>J251*IFERROR(VLOOKUP(A251,[1]Tørstofindhold!A$2:B$25,2,FALSE),0)</f>
        <v>3.765315130974602</v>
      </c>
      <c r="X251" s="195">
        <f t="shared" si="65"/>
        <v>1.0242968178048821</v>
      </c>
      <c r="Y251" s="173">
        <f t="shared" si="60"/>
        <v>0</v>
      </c>
      <c r="Z251" s="104">
        <f t="shared" si="61"/>
        <v>1</v>
      </c>
    </row>
    <row r="252" spans="1:26" hidden="1" x14ac:dyDescent="0.25">
      <c r="A252" s="196" t="str">
        <f t="shared" si="72"/>
        <v>Fjerkrækød</v>
      </c>
      <c r="B252" s="196" t="str">
        <f t="shared" si="73"/>
        <v/>
      </c>
      <c r="C252" s="196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6">
        <f t="shared" si="74"/>
        <v>2050</v>
      </c>
      <c r="E252" s="194" t="s">
        <v>25</v>
      </c>
      <c r="F252" s="197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77.841782792402455</v>
      </c>
      <c r="G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4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0</v>
      </c>
      <c r="J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7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9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6">
        <f t="shared" si="62"/>
        <v>77.841782792402455</v>
      </c>
      <c r="O252" s="197">
        <f t="shared" si="59"/>
        <v>0</v>
      </c>
      <c r="P252" s="207">
        <f t="shared" si="63"/>
        <v>0</v>
      </c>
      <c r="Q252" s="194">
        <f>IFERROR(VLOOKUP(A252,[1]Energiindhold!$A$2:$C$11,3,FALSE),IFERROR(VLOOKUP(A252,[1]Biogasudbytte!$A$2:$B$18,2,FALSE)*[1]Energiindhold!$C$10,0))*O252</f>
        <v>0</v>
      </c>
      <c r="R252" s="194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4">
        <f>IFERROR(VLOOKUP(A252,[1]Biogasudbytte!$A$2:$B$18,2,FALSE)*[1]Energiindhold!$C$10,0)*J252*IFERROR(VLOOKUP(A252,Biogasanlæg!$F$3:$G$8,2,FALSE),1)</f>
        <v>0</v>
      </c>
      <c r="T252" s="195">
        <f t="shared" si="64"/>
        <v>0</v>
      </c>
      <c r="U252" s="193">
        <f>O252*IFERROR(VLOOKUP(A252,[1]Tørstofindhold!A$2:B$25,2,FALSE),0)</f>
        <v>0</v>
      </c>
      <c r="V252" s="194">
        <f>IF(D252=År1,P252,SUM(O252,P252))*IFERROR(VLOOKUP(A252,[1]Tørstofindhold!A$2:B$25,2,FALSE),0)</f>
        <v>0</v>
      </c>
      <c r="W252" s="194">
        <f>J252*IFERROR(VLOOKUP(A252,[1]Tørstofindhold!A$2:B$25,2,FALSE),0)</f>
        <v>0</v>
      </c>
      <c r="X252" s="195">
        <f t="shared" si="65"/>
        <v>0</v>
      </c>
      <c r="Y252" s="173">
        <f t="shared" si="60"/>
        <v>0</v>
      </c>
      <c r="Z252" s="104">
        <f t="shared" si="61"/>
        <v>1</v>
      </c>
    </row>
    <row r="253" spans="1:26" hidden="1" x14ac:dyDescent="0.25">
      <c r="A253" s="196" t="str">
        <f t="shared" si="72"/>
        <v>Frø</v>
      </c>
      <c r="B253" s="196" t="str">
        <f t="shared" si="73"/>
        <v/>
      </c>
      <c r="C253" s="196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6">
        <f t="shared" si="74"/>
        <v>2050</v>
      </c>
      <c r="E253" s="194" t="s">
        <v>25</v>
      </c>
      <c r="F253" s="197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266667.67985232966</v>
      </c>
      <c r="G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4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7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9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6">
        <f t="shared" si="62"/>
        <v>266667.67985232966</v>
      </c>
      <c r="O253" s="197">
        <f t="shared" si="59"/>
        <v>0</v>
      </c>
      <c r="P253" s="207">
        <f t="shared" si="63"/>
        <v>0</v>
      </c>
      <c r="Q253" s="194">
        <f>IFERROR(VLOOKUP(A253,[1]Energiindhold!$A$2:$C$11,3,FALSE),IFERROR(VLOOKUP(A253,[1]Biogasudbytte!$A$2:$B$18,2,FALSE)*[1]Energiindhold!$C$10,0))*O253</f>
        <v>0</v>
      </c>
      <c r="R253" s="194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4">
        <f>IFERROR(VLOOKUP(A253,[1]Biogasudbytte!$A$2:$B$18,2,FALSE)*[1]Energiindhold!$C$10,0)*J253*IFERROR(VLOOKUP(A253,Biogasanlæg!$F$3:$G$8,2,FALSE),1)</f>
        <v>0</v>
      </c>
      <c r="T253" s="195">
        <f t="shared" si="64"/>
        <v>0</v>
      </c>
      <c r="U253" s="193">
        <f>O253*IFERROR(VLOOKUP(A253,[1]Tørstofindhold!A$2:B$25,2,FALSE),0)</f>
        <v>0</v>
      </c>
      <c r="V253" s="194">
        <f>IF(D253=År1,P253,SUM(O253,P253))*IFERROR(VLOOKUP(A253,[1]Tørstofindhold!A$2:B$25,2,FALSE),0)</f>
        <v>0</v>
      </c>
      <c r="W253" s="194">
        <f>J253*IFERROR(VLOOKUP(A253,[1]Tørstofindhold!A$2:B$25,2,FALSE),0)</f>
        <v>0</v>
      </c>
      <c r="X253" s="195">
        <f t="shared" si="65"/>
        <v>0</v>
      </c>
      <c r="Y253" s="173">
        <f t="shared" si="60"/>
        <v>0</v>
      </c>
      <c r="Z253" s="104">
        <f t="shared" si="61"/>
        <v>1</v>
      </c>
    </row>
    <row r="254" spans="1:26" hidden="1" x14ac:dyDescent="0.25">
      <c r="A254" s="196" t="str">
        <f t="shared" si="72"/>
        <v>Frugt</v>
      </c>
      <c r="B254" s="196" t="str">
        <f t="shared" si="73"/>
        <v/>
      </c>
      <c r="C254" s="196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6">
        <f t="shared" si="74"/>
        <v>2050</v>
      </c>
      <c r="E254" s="194" t="s">
        <v>25</v>
      </c>
      <c r="F254" s="197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90279.382989087491</v>
      </c>
      <c r="G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4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7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9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6">
        <f t="shared" si="62"/>
        <v>-143515.63300338632</v>
      </c>
      <c r="O254" s="197">
        <f t="shared" si="59"/>
        <v>0</v>
      </c>
      <c r="P254" s="207">
        <f t="shared" si="63"/>
        <v>0</v>
      </c>
      <c r="Q254" s="194">
        <f>IFERROR(VLOOKUP(A254,[1]Energiindhold!$A$2:$C$11,3,FALSE),IFERROR(VLOOKUP(A254,[1]Biogasudbytte!$A$2:$B$18,2,FALSE)*[1]Energiindhold!$C$10,0))*O254</f>
        <v>0</v>
      </c>
      <c r="R254" s="194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4">
        <f>IFERROR(VLOOKUP(A254,[1]Biogasudbytte!$A$2:$B$18,2,FALSE)*[1]Energiindhold!$C$10,0)*J254*IFERROR(VLOOKUP(A254,Biogasanlæg!$F$3:$G$8,2,FALSE),1)</f>
        <v>0</v>
      </c>
      <c r="T254" s="195">
        <f t="shared" si="64"/>
        <v>0</v>
      </c>
      <c r="U254" s="193">
        <f>O254*IFERROR(VLOOKUP(A254,[1]Tørstofindhold!A$2:B$25,2,FALSE),0)</f>
        <v>0</v>
      </c>
      <c r="V254" s="194">
        <f>IF(D254=År1,P254,SUM(O254,P254))*IFERROR(VLOOKUP(A254,[1]Tørstofindhold!A$2:B$25,2,FALSE),0)</f>
        <v>0</v>
      </c>
      <c r="W254" s="194">
        <f>J254*IFERROR(VLOOKUP(A254,[1]Tørstofindhold!A$2:B$25,2,FALSE),0)</f>
        <v>0</v>
      </c>
      <c r="X254" s="195">
        <f t="shared" si="65"/>
        <v>0</v>
      </c>
      <c r="Y254" s="173">
        <f t="shared" si="60"/>
        <v>1</v>
      </c>
      <c r="Z254" s="104">
        <f t="shared" si="61"/>
        <v>0</v>
      </c>
    </row>
    <row r="255" spans="1:26" hidden="1" x14ac:dyDescent="0.25">
      <c r="A255" s="196" t="str">
        <f t="shared" si="72"/>
        <v>Glycerin</v>
      </c>
      <c r="B255" s="196" t="str">
        <f t="shared" si="73"/>
        <v>Glycerin</v>
      </c>
      <c r="C255" s="196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6">
        <f t="shared" si="74"/>
        <v>2050</v>
      </c>
      <c r="E255" s="194" t="s">
        <v>25</v>
      </c>
      <c r="F255" s="197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4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0</v>
      </c>
      <c r="K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7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9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6">
        <f t="shared" si="62"/>
        <v>0</v>
      </c>
      <c r="O255" s="197">
        <f t="shared" si="59"/>
        <v>0</v>
      </c>
      <c r="P255" s="207">
        <f t="shared" si="63"/>
        <v>0</v>
      </c>
      <c r="Q255" s="194">
        <f>IFERROR(VLOOKUP(A255,[1]Energiindhold!$A$2:$C$11,3,FALSE),IFERROR(VLOOKUP(A255,[1]Biogasudbytte!$A$2:$B$18,2,FALSE)*[1]Energiindhold!$C$10,0))*O255</f>
        <v>0</v>
      </c>
      <c r="R255" s="194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</v>
      </c>
      <c r="S255" s="194">
        <f>IFERROR(VLOOKUP(A255,[1]Biogasudbytte!$A$2:$B$18,2,FALSE)*[1]Energiindhold!$C$10,0)*J255*IFERROR(VLOOKUP(A255,Biogasanlæg!$F$3:$G$8,2,FALSE),1)</f>
        <v>0</v>
      </c>
      <c r="T255" s="195">
        <f t="shared" si="64"/>
        <v>0</v>
      </c>
      <c r="U255" s="193">
        <f>O255*IFERROR(VLOOKUP(A255,[1]Tørstofindhold!A$2:B$25,2,FALSE),0)</f>
        <v>0</v>
      </c>
      <c r="V255" s="194">
        <f>IF(D255=År1,P255,SUM(O255,P255))*IFERROR(VLOOKUP(A255,[1]Tørstofindhold!A$2:B$25,2,FALSE),0)</f>
        <v>0</v>
      </c>
      <c r="W255" s="194">
        <f>J255*IFERROR(VLOOKUP(A255,[1]Tørstofindhold!A$2:B$25,2,FALSE),0)</f>
        <v>0</v>
      </c>
      <c r="X255" s="195">
        <f t="shared" si="65"/>
        <v>0</v>
      </c>
      <c r="Y255" s="173">
        <f t="shared" si="60"/>
        <v>0</v>
      </c>
      <c r="Z255" s="104">
        <f t="shared" si="61"/>
        <v>0</v>
      </c>
    </row>
    <row r="256" spans="1:26" hidden="1" x14ac:dyDescent="0.25">
      <c r="A256" s="196" t="str">
        <f t="shared" si="72"/>
        <v>Græs</v>
      </c>
      <c r="B256" s="196" t="str">
        <f t="shared" si="73"/>
        <v>Græs og urter</v>
      </c>
      <c r="C256" s="196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6">
        <f t="shared" si="74"/>
        <v>2050</v>
      </c>
      <c r="E256" s="194" t="s">
        <v>25</v>
      </c>
      <c r="F256" s="197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1213195.5563066429</v>
      </c>
      <c r="G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150206.80760117146</v>
      </c>
      <c r="H256" s="194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0</v>
      </c>
      <c r="K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7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9">
        <f>SUMIFS('Forbrug af biomasse'!E:E,'Forbrug af biomasse'!C:C,'Resultat-Produktion &amp; forbrug'!$A256,'Forbrug af biomasse'!D:D,'Resultat-Produktion &amp; forbrug'!$D256,'Forbrug af biomasse'!G:G,1,'Forbrug af biomasse'!B:B,$E256)</f>
        <v>95360.498260066641</v>
      </c>
      <c r="N256" s="206">
        <f t="shared" si="62"/>
        <v>967628.25044540479</v>
      </c>
      <c r="O256" s="197">
        <f t="shared" si="59"/>
        <v>451126.7667083547</v>
      </c>
      <c r="P256" s="207">
        <f t="shared" si="63"/>
        <v>0</v>
      </c>
      <c r="Q256" s="194">
        <f>IFERROR(VLOOKUP(A256,[1]Energiindhold!$A$2:$C$11,3,FALSE),IFERROR(VLOOKUP(A256,[1]Biogasudbytte!$A$2:$B$18,2,FALSE)*[1]Energiindhold!$C$10,0))*O256</f>
        <v>0.83001685989753415</v>
      </c>
      <c r="R256" s="194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0.83001685989753415</v>
      </c>
      <c r="S256" s="194">
        <f>IFERROR(VLOOKUP(A256,[1]Biogasudbytte!$A$2:$B$18,2,FALSE)*[1]Energiindhold!$C$10,0)*J256*IFERROR(VLOOKUP(A256,Biogasanlæg!$F$3:$G$8,2,FALSE),1)</f>
        <v>0</v>
      </c>
      <c r="T256" s="195">
        <f t="shared" si="64"/>
        <v>0.83001685989753415</v>
      </c>
      <c r="U256" s="193">
        <f>O256*IFERROR(VLOOKUP(A256,[1]Tørstofindhold!A$2:B$25,2,FALSE),0)</f>
        <v>126315.49467833932</v>
      </c>
      <c r="V256" s="194">
        <f>IF(D256=År1,P256,SUM(O256,P256))*IFERROR(VLOOKUP(A256,[1]Tørstofindhold!A$2:B$25,2,FALSE),0)</f>
        <v>126315.49467833932</v>
      </c>
      <c r="W256" s="194">
        <f>J256*IFERROR(VLOOKUP(A256,[1]Tørstofindhold!A$2:B$25,2,FALSE),0)</f>
        <v>0</v>
      </c>
      <c r="X256" s="195">
        <f t="shared" si="65"/>
        <v>126315.49467833932</v>
      </c>
      <c r="Y256" s="173">
        <f t="shared" si="60"/>
        <v>0</v>
      </c>
      <c r="Z256" s="104">
        <f t="shared" si="61"/>
        <v>1</v>
      </c>
    </row>
    <row r="257" spans="1:26" hidden="1" x14ac:dyDescent="0.25">
      <c r="A257" s="196" t="str">
        <f t="shared" si="72"/>
        <v>Græsprotein</v>
      </c>
      <c r="B257" s="196" t="str">
        <f t="shared" si="73"/>
        <v/>
      </c>
      <c r="C257" s="196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6">
        <f t="shared" si="74"/>
        <v>2050</v>
      </c>
      <c r="E257" s="194" t="s">
        <v>25</v>
      </c>
      <c r="F257" s="197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15941.547218520003</v>
      </c>
      <c r="G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15941.547218520001</v>
      </c>
      <c r="H257" s="194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7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9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6">
        <f t="shared" si="62"/>
        <v>0</v>
      </c>
      <c r="O257" s="197">
        <f t="shared" si="59"/>
        <v>0</v>
      </c>
      <c r="P257" s="207">
        <f t="shared" si="63"/>
        <v>0</v>
      </c>
      <c r="Q257" s="194">
        <f>IFERROR(VLOOKUP(A257,[1]Energiindhold!$A$2:$C$11,3,FALSE),IFERROR(VLOOKUP(A257,[1]Biogasudbytte!$A$2:$B$18,2,FALSE)*[1]Energiindhold!$C$10,0))*O257</f>
        <v>0</v>
      </c>
      <c r="R257" s="194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4">
        <f>IFERROR(VLOOKUP(A257,[1]Biogasudbytte!$A$2:$B$18,2,FALSE)*[1]Energiindhold!$C$10,0)*J257*IFERROR(VLOOKUP(A257,Biogasanlæg!$F$3:$G$8,2,FALSE),1)</f>
        <v>0</v>
      </c>
      <c r="T257" s="195">
        <f t="shared" si="64"/>
        <v>0</v>
      </c>
      <c r="U257" s="193">
        <f>O257*IFERROR(VLOOKUP(A257,[1]Tørstofindhold!A$2:B$25,2,FALSE),0)</f>
        <v>0</v>
      </c>
      <c r="V257" s="194">
        <f>IF(D257=År1,P257,SUM(O257,P257))*IFERROR(VLOOKUP(A257,[1]Tørstofindhold!A$2:B$25,2,FALSE),0)</f>
        <v>0</v>
      </c>
      <c r="W257" s="194">
        <f>J257*IFERROR(VLOOKUP(A257,[1]Tørstofindhold!A$2:B$25,2,FALSE),0)</f>
        <v>0</v>
      </c>
      <c r="X257" s="195">
        <f t="shared" si="65"/>
        <v>0</v>
      </c>
      <c r="Y257" s="173">
        <f t="shared" si="60"/>
        <v>0</v>
      </c>
      <c r="Z257" s="104">
        <f t="shared" si="61"/>
        <v>0</v>
      </c>
    </row>
    <row r="258" spans="1:26" hidden="1" x14ac:dyDescent="0.25">
      <c r="A258" s="196" t="str">
        <f t="shared" si="72"/>
        <v>Grøntsager</v>
      </c>
      <c r="B258" s="196" t="str">
        <f t="shared" si="73"/>
        <v/>
      </c>
      <c r="C258" s="196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6">
        <f t="shared" si="74"/>
        <v>2050</v>
      </c>
      <c r="E258" s="194" t="s">
        <v>25</v>
      </c>
      <c r="F258" s="197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44087.488110293329</v>
      </c>
      <c r="G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4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7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9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6">
        <f t="shared" si="62"/>
        <v>-200782.02863971872</v>
      </c>
      <c r="O258" s="197">
        <f t="shared" si="59"/>
        <v>0</v>
      </c>
      <c r="P258" s="207">
        <f t="shared" si="63"/>
        <v>0</v>
      </c>
      <c r="Q258" s="194">
        <f>IFERROR(VLOOKUP(A258,[1]Energiindhold!$A$2:$C$11,3,FALSE),IFERROR(VLOOKUP(A258,[1]Biogasudbytte!$A$2:$B$18,2,FALSE)*[1]Energiindhold!$C$10,0))*O258</f>
        <v>0</v>
      </c>
      <c r="R258" s="194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4">
        <f>IFERROR(VLOOKUP(A258,[1]Biogasudbytte!$A$2:$B$18,2,FALSE)*[1]Energiindhold!$C$10,0)*J258*IFERROR(VLOOKUP(A258,Biogasanlæg!$F$3:$G$8,2,FALSE),1)</f>
        <v>0</v>
      </c>
      <c r="T258" s="195">
        <f t="shared" si="64"/>
        <v>0</v>
      </c>
      <c r="U258" s="193">
        <f>O258*IFERROR(VLOOKUP(A258,[1]Tørstofindhold!A$2:B$25,2,FALSE),0)</f>
        <v>0</v>
      </c>
      <c r="V258" s="194">
        <f>IF(D258=År1,P258,SUM(O258,P258))*IFERROR(VLOOKUP(A258,[1]Tørstofindhold!A$2:B$25,2,FALSE),0)</f>
        <v>0</v>
      </c>
      <c r="W258" s="194">
        <f>J258*IFERROR(VLOOKUP(A258,[1]Tørstofindhold!A$2:B$25,2,FALSE),0)</f>
        <v>0</v>
      </c>
      <c r="X258" s="195">
        <f t="shared" si="65"/>
        <v>0</v>
      </c>
      <c r="Y258" s="173">
        <f t="shared" si="60"/>
        <v>0</v>
      </c>
      <c r="Z258" s="104">
        <f t="shared" si="61"/>
        <v>1</v>
      </c>
    </row>
    <row r="259" spans="1:26" hidden="1" x14ac:dyDescent="0.25">
      <c r="A259" s="196" t="str">
        <f t="shared" si="72"/>
        <v>Halm</v>
      </c>
      <c r="B259" s="196" t="str">
        <f t="shared" si="73"/>
        <v>Halm og strå</v>
      </c>
      <c r="C259" s="196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6">
        <f t="shared" si="74"/>
        <v>2050</v>
      </c>
      <c r="E259" s="194" t="s">
        <v>25</v>
      </c>
      <c r="F259" s="197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451761.84985706571</v>
      </c>
      <c r="G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9488.9448034412562</v>
      </c>
      <c r="H259" s="194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9360.7198522107701</v>
      </c>
      <c r="I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0</v>
      </c>
      <c r="K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7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432905.92040787602</v>
      </c>
      <c r="M259" s="159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6">
        <f t="shared" si="62"/>
        <v>6.2647935376735404</v>
      </c>
      <c r="O259" s="197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6.2647935376735404</v>
      </c>
      <c r="P259" s="207">
        <f t="shared" si="63"/>
        <v>432905.92040787602</v>
      </c>
      <c r="Q259" s="194">
        <f>IFERROR(VLOOKUP(A259,[1]Energiindhold!$A$2:$C$11,3,FALSE),IFERROR(VLOOKUP(A259,[1]Biogasudbytte!$A$2:$B$18,2,FALSE)*[1]Energiindhold!$C$10,0))*O259</f>
        <v>6.4751692760054187E-5</v>
      </c>
      <c r="R259" s="194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4.4744965080932815</v>
      </c>
      <c r="S259" s="194">
        <f>IFERROR(VLOOKUP(A259,[1]Biogasudbytte!$A$2:$B$18,2,FALSE)*[1]Energiindhold!$C$10,0)*J259*IFERROR(VLOOKUP(A259,Biogasanlæg!$F$3:$G$8,2,FALSE),1)</f>
        <v>0</v>
      </c>
      <c r="T259" s="195">
        <f t="shared" si="64"/>
        <v>4.4744965080932815</v>
      </c>
      <c r="U259" s="193">
        <f>O259*IFERROR(VLOOKUP(A259,[1]Tørstofindhold!A$2:B$25,2,FALSE),0)</f>
        <v>5.3250745070225092</v>
      </c>
      <c r="V259" s="194">
        <f>IF(D259=År1,P259,SUM(O259,P259))*IFERROR(VLOOKUP(A259,[1]Tørstofindhold!A$2:B$25,2,FALSE),0)</f>
        <v>367975.35742120165</v>
      </c>
      <c r="W259" s="194">
        <f>J259*IFERROR(VLOOKUP(A259,[1]Tørstofindhold!A$2:B$25,2,FALSE),0)</f>
        <v>0</v>
      </c>
      <c r="X259" s="195">
        <f t="shared" si="65"/>
        <v>367975.35742120165</v>
      </c>
      <c r="Y259" s="173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1</v>
      </c>
    </row>
    <row r="260" spans="1:26" hidden="1" x14ac:dyDescent="0.25">
      <c r="A260" s="196" t="str">
        <f t="shared" si="72"/>
        <v>Have/parkaffald</v>
      </c>
      <c r="B260" s="196" t="str">
        <f t="shared" si="73"/>
        <v>Bionedbrydeligt affald</v>
      </c>
      <c r="C260" s="196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6">
        <f t="shared" si="74"/>
        <v>2050</v>
      </c>
      <c r="E260" s="194" t="s">
        <v>25</v>
      </c>
      <c r="F260" s="197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4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0</v>
      </c>
      <c r="K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7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457927.02496060182</v>
      </c>
      <c r="M260" s="159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6">
        <f t="shared" si="62"/>
        <v>0</v>
      </c>
      <c r="O260" s="197">
        <f t="shared" si="75"/>
        <v>0</v>
      </c>
      <c r="P260" s="207">
        <f t="shared" si="63"/>
        <v>457927.02496060182</v>
      </c>
      <c r="Q260" s="194">
        <f>IFERROR(VLOOKUP(A260,[1]Energiindhold!$A$2:$C$11,3,FALSE),IFERROR(VLOOKUP(A260,[1]Biogasudbytte!$A$2:$B$18,2,FALSE)*[1]Energiindhold!$C$10,0))*O260</f>
        <v>0</v>
      </c>
      <c r="R260" s="194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8.1750142319727654</v>
      </c>
      <c r="S260" s="194">
        <f>IFERROR(VLOOKUP(A260,[1]Biogasudbytte!$A$2:$B$18,2,FALSE)*[1]Energiindhold!$C$10,0)*J260*IFERROR(VLOOKUP(A260,Biogasanlæg!$F$3:$G$8,2,FALSE),1)</f>
        <v>0</v>
      </c>
      <c r="T260" s="195">
        <f t="shared" si="64"/>
        <v>8.1750142319727654</v>
      </c>
      <c r="U260" s="193">
        <f>O260*IFERROR(VLOOKUP(A260,[1]Tørstofindhold!A$2:B$25,2,FALSE),0)</f>
        <v>0</v>
      </c>
      <c r="V260" s="194">
        <f>IF(D260=År1,P260,SUM(O260,P260))*IFERROR(VLOOKUP(A260,[1]Tørstofindhold!A$2:B$25,2,FALSE),0)</f>
        <v>137378.10748818054</v>
      </c>
      <c r="W260" s="194">
        <f>J260*IFERROR(VLOOKUP(A260,[1]Tørstofindhold!A$2:B$25,2,FALSE),0)</f>
        <v>0</v>
      </c>
      <c r="X260" s="195">
        <f t="shared" si="65"/>
        <v>137378.10748818054</v>
      </c>
      <c r="Y260" s="173">
        <f t="shared" si="76"/>
        <v>0</v>
      </c>
      <c r="Z260" s="104">
        <f t="shared" si="77"/>
        <v>0</v>
      </c>
    </row>
    <row r="261" spans="1:26" hidden="1" x14ac:dyDescent="0.25">
      <c r="A261" s="196" t="str">
        <f t="shared" si="72"/>
        <v>Import af foder</v>
      </c>
      <c r="B261" s="196" t="str">
        <f t="shared" si="73"/>
        <v/>
      </c>
      <c r="C261" s="196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6">
        <f t="shared" si="74"/>
        <v>2050</v>
      </c>
      <c r="E261" s="194" t="s">
        <v>25</v>
      </c>
      <c r="F261" s="197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0</v>
      </c>
      <c r="H261" s="194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7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9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6">
        <f t="shared" si="62"/>
        <v>0</v>
      </c>
      <c r="O261" s="197">
        <f t="shared" si="75"/>
        <v>0</v>
      </c>
      <c r="P261" s="207">
        <f t="shared" si="63"/>
        <v>0</v>
      </c>
      <c r="Q261" s="194">
        <f>IFERROR(VLOOKUP(A261,[1]Energiindhold!$A$2:$C$11,3,FALSE),IFERROR(VLOOKUP(A261,[1]Biogasudbytte!$A$2:$B$18,2,FALSE)*[1]Energiindhold!$C$10,0))*O261</f>
        <v>0</v>
      </c>
      <c r="R261" s="194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4">
        <f>IFERROR(VLOOKUP(A261,[1]Biogasudbytte!$A$2:$B$18,2,FALSE)*[1]Energiindhold!$C$10,0)*J261*IFERROR(VLOOKUP(A261,Biogasanlæg!$F$3:$G$8,2,FALSE),1)</f>
        <v>0</v>
      </c>
      <c r="T261" s="195">
        <f t="shared" si="64"/>
        <v>0</v>
      </c>
      <c r="U261" s="193">
        <f>O261*IFERROR(VLOOKUP(A261,[1]Tørstofindhold!A$2:B$25,2,FALSE),0)</f>
        <v>0</v>
      </c>
      <c r="V261" s="194">
        <f>IF(D261=År1,P261,SUM(O261,P261))*IFERROR(VLOOKUP(A261,[1]Tørstofindhold!A$2:B$25,2,FALSE),0)</f>
        <v>0</v>
      </c>
      <c r="W261" s="194">
        <f>J261*IFERROR(VLOOKUP(A261,[1]Tørstofindhold!A$2:B$25,2,FALSE),0)</f>
        <v>0</v>
      </c>
      <c r="X261" s="195">
        <f t="shared" si="65"/>
        <v>0</v>
      </c>
      <c r="Y261" s="173">
        <f t="shared" si="76"/>
        <v>0</v>
      </c>
      <c r="Z261" s="104">
        <f t="shared" si="77"/>
        <v>0</v>
      </c>
    </row>
    <row r="262" spans="1:26" hidden="1" x14ac:dyDescent="0.25">
      <c r="A262" s="196" t="str">
        <f t="shared" si="72"/>
        <v>Industriaffald</v>
      </c>
      <c r="B262" s="196" t="str">
        <f t="shared" si="73"/>
        <v>Bionedbrydeligt affald</v>
      </c>
      <c r="C262" s="196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6">
        <f t="shared" si="74"/>
        <v>2050</v>
      </c>
      <c r="E262" s="194" t="s">
        <v>25</v>
      </c>
      <c r="F262" s="197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168720.33202425789</v>
      </c>
      <c r="G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4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0</v>
      </c>
      <c r="K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7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9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6">
        <f t="shared" si="62"/>
        <v>168720.33202425789</v>
      </c>
      <c r="O262" s="197">
        <f t="shared" si="75"/>
        <v>168720.33202425789</v>
      </c>
      <c r="P262" s="207">
        <f t="shared" si="63"/>
        <v>0</v>
      </c>
      <c r="Q262" s="194">
        <f>IFERROR(VLOOKUP(A262,[1]Energiindhold!$A$2:$C$11,3,FALSE),IFERROR(VLOOKUP(A262,[1]Biogasudbytte!$A$2:$B$18,2,FALSE)*[1]Energiindhold!$C$10,0))*O262</f>
        <v>0.73108713230427269</v>
      </c>
      <c r="R262" s="194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0.73108713230427269</v>
      </c>
      <c r="S262" s="194">
        <f>IFERROR(VLOOKUP(A262,[1]Biogasudbytte!$A$2:$B$18,2,FALSE)*[1]Energiindhold!$C$10,0)*J262*IFERROR(VLOOKUP(A262,Biogasanlæg!$F$3:$G$8,2,FALSE),1)</f>
        <v>0</v>
      </c>
      <c r="T262" s="195">
        <f t="shared" si="64"/>
        <v>0.73108713230427269</v>
      </c>
      <c r="U262" s="193">
        <f>O262*IFERROR(VLOOKUP(A262,[1]Tørstofindhold!A$2:B$25,2,FALSE),0)</f>
        <v>70862.539450188313</v>
      </c>
      <c r="V262" s="194">
        <f>IF(D262=År1,P262,SUM(O262,P262))*IFERROR(VLOOKUP(A262,[1]Tørstofindhold!A$2:B$25,2,FALSE),0)</f>
        <v>70862.539450188313</v>
      </c>
      <c r="W262" s="194">
        <f>J262*IFERROR(VLOOKUP(A262,[1]Tørstofindhold!A$2:B$25,2,FALSE),0)</f>
        <v>0</v>
      </c>
      <c r="X262" s="195">
        <f t="shared" si="65"/>
        <v>70862.539450188313</v>
      </c>
      <c r="Y262" s="173">
        <f t="shared" si="76"/>
        <v>0</v>
      </c>
      <c r="Z262" s="104">
        <f t="shared" si="77"/>
        <v>1</v>
      </c>
    </row>
    <row r="263" spans="1:26" hidden="1" x14ac:dyDescent="0.25">
      <c r="A263" s="196" t="str">
        <f t="shared" si="72"/>
        <v>Juletræer</v>
      </c>
      <c r="B263" s="196" t="str">
        <f t="shared" si="73"/>
        <v/>
      </c>
      <c r="C263" s="196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6">
        <f t="shared" si="74"/>
        <v>2050</v>
      </c>
      <c r="E263" s="194" t="s">
        <v>25</v>
      </c>
      <c r="F263" s="197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66186.028296006189</v>
      </c>
      <c r="G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4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7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9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6">
        <f t="shared" si="62"/>
        <v>66186.028296006189</v>
      </c>
      <c r="O263" s="197">
        <f t="shared" si="75"/>
        <v>0</v>
      </c>
      <c r="P263" s="207">
        <f t="shared" si="63"/>
        <v>0</v>
      </c>
      <c r="Q263" s="194">
        <f>IFERROR(VLOOKUP(A263,[1]Energiindhold!$A$2:$C$11,3,FALSE),IFERROR(VLOOKUP(A263,[1]Biogasudbytte!$A$2:$B$18,2,FALSE)*[1]Energiindhold!$C$10,0))*O263</f>
        <v>0</v>
      </c>
      <c r="R263" s="194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4">
        <f>IFERROR(VLOOKUP(A263,[1]Biogasudbytte!$A$2:$B$18,2,FALSE)*[1]Energiindhold!$C$10,0)*J263*IFERROR(VLOOKUP(A263,Biogasanlæg!$F$3:$G$8,2,FALSE),1)</f>
        <v>0</v>
      </c>
      <c r="T263" s="195">
        <f t="shared" si="64"/>
        <v>0</v>
      </c>
      <c r="U263" s="193">
        <f>O263*IFERROR(VLOOKUP(A263,[1]Tørstofindhold!A$2:B$25,2,FALSE),0)</f>
        <v>0</v>
      </c>
      <c r="V263" s="194">
        <f>IF(D263=År1,P263,SUM(O263,P263))*IFERROR(VLOOKUP(A263,[1]Tørstofindhold!A$2:B$25,2,FALSE),0)</f>
        <v>0</v>
      </c>
      <c r="W263" s="194">
        <f>J263*IFERROR(VLOOKUP(A263,[1]Tørstofindhold!A$2:B$25,2,FALSE),0)</f>
        <v>0</v>
      </c>
      <c r="X263" s="195">
        <f t="shared" si="65"/>
        <v>0</v>
      </c>
      <c r="Y263" s="173">
        <f t="shared" si="76"/>
        <v>0</v>
      </c>
      <c r="Z263" s="104">
        <f t="shared" si="77"/>
        <v>1</v>
      </c>
    </row>
    <row r="264" spans="1:26" hidden="1" x14ac:dyDescent="0.25">
      <c r="A264" s="196" t="str">
        <f t="shared" si="72"/>
        <v>Kartofler</v>
      </c>
      <c r="B264" s="196" t="str">
        <f t="shared" si="73"/>
        <v/>
      </c>
      <c r="C264" s="196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6">
        <f t="shared" si="74"/>
        <v>2050</v>
      </c>
      <c r="E264" s="194" t="s">
        <v>25</v>
      </c>
      <c r="F264" s="197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52441.192091529192</v>
      </c>
      <c r="G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4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7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9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6">
        <f t="shared" si="62"/>
        <v>-59534.315568024052</v>
      </c>
      <c r="O264" s="197">
        <f t="shared" si="75"/>
        <v>0</v>
      </c>
      <c r="P264" s="207">
        <f t="shared" si="63"/>
        <v>0</v>
      </c>
      <c r="Q264" s="194">
        <f>IFERROR(VLOOKUP(A264,[1]Energiindhold!$A$2:$C$11,3,FALSE),IFERROR(VLOOKUP(A264,[1]Biogasudbytte!$A$2:$B$18,2,FALSE)*[1]Energiindhold!$C$10,0))*O264</f>
        <v>0</v>
      </c>
      <c r="R264" s="194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4">
        <f>IFERROR(VLOOKUP(A264,[1]Biogasudbytte!$A$2:$B$18,2,FALSE)*[1]Energiindhold!$C$10,0)*J264*IFERROR(VLOOKUP(A264,Biogasanlæg!$F$3:$G$8,2,FALSE),1)</f>
        <v>0</v>
      </c>
      <c r="T264" s="195">
        <f t="shared" si="64"/>
        <v>0</v>
      </c>
      <c r="U264" s="193">
        <f>O264*IFERROR(VLOOKUP(A264,[1]Tørstofindhold!A$2:B$25,2,FALSE),0)</f>
        <v>0</v>
      </c>
      <c r="V264" s="194">
        <f>IF(D264=År1,P264,SUM(O264,P264))*IFERROR(VLOOKUP(A264,[1]Tørstofindhold!A$2:B$25,2,FALSE),0)</f>
        <v>0</v>
      </c>
      <c r="W264" s="194">
        <f>J264*IFERROR(VLOOKUP(A264,[1]Tørstofindhold!A$2:B$25,2,FALSE),0)</f>
        <v>0</v>
      </c>
      <c r="X264" s="195">
        <f t="shared" si="65"/>
        <v>0</v>
      </c>
      <c r="Y264" s="173">
        <f t="shared" si="76"/>
        <v>0</v>
      </c>
      <c r="Z264" s="104">
        <f t="shared" si="77"/>
        <v>1</v>
      </c>
    </row>
    <row r="265" spans="1:26" hidden="1" x14ac:dyDescent="0.25">
      <c r="A265" s="196" t="str">
        <f t="shared" si="72"/>
        <v>Korn</v>
      </c>
      <c r="B265" s="196" t="str">
        <f t="shared" si="73"/>
        <v>Halm og strå</v>
      </c>
      <c r="C265" s="196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6">
        <f t="shared" si="74"/>
        <v>2050</v>
      </c>
      <c r="E265" s="194" t="s">
        <v>25</v>
      </c>
      <c r="F265" s="197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1205010.4251037105</v>
      </c>
      <c r="G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72162.160770550341</v>
      </c>
      <c r="H265" s="194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0</v>
      </c>
      <c r="K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7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9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6">
        <f t="shared" si="62"/>
        <v>864599.24598390074</v>
      </c>
      <c r="O265" s="197">
        <f t="shared" si="75"/>
        <v>192606.70069262292</v>
      </c>
      <c r="P265" s="207">
        <f t="shared" si="63"/>
        <v>0</v>
      </c>
      <c r="Q265" s="194">
        <f>IFERROR(VLOOKUP(A265,[1]Energiindhold!$A$2:$C$11,3,FALSE),IFERROR(VLOOKUP(A265,[1]Biogasudbytte!$A$2:$B$18,2,FALSE)*[1]Energiindhold!$C$10,0))*O265</f>
        <v>0.65965098493413665</v>
      </c>
      <c r="R265" s="194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0.65965098493413665</v>
      </c>
      <c r="S265" s="194">
        <f>IFERROR(VLOOKUP(A265,[1]Biogasudbytte!$A$2:$B$18,2,FALSE)*[1]Energiindhold!$C$10,0)*J265*IFERROR(VLOOKUP(A265,Biogasanlæg!$F$3:$G$8,2,FALSE),1)</f>
        <v>0</v>
      </c>
      <c r="T265" s="195">
        <f t="shared" si="64"/>
        <v>0.65965098493413665</v>
      </c>
      <c r="U265" s="193">
        <f>O265*IFERROR(VLOOKUP(A265,[1]Tørstofindhold!A$2:B$25,2,FALSE),0)</f>
        <v>59708.077214713107</v>
      </c>
      <c r="V265" s="194">
        <f>IF(D265=År1,P265,SUM(O265,P265))*IFERROR(VLOOKUP(A265,[1]Tørstofindhold!A$2:B$25,2,FALSE),0)</f>
        <v>59708.077214713107</v>
      </c>
      <c r="W265" s="194">
        <f>J265*IFERROR(VLOOKUP(A265,[1]Tørstofindhold!A$2:B$25,2,FALSE),0)</f>
        <v>0</v>
      </c>
      <c r="X265" s="195">
        <f t="shared" si="65"/>
        <v>59708.077214713107</v>
      </c>
      <c r="Y265" s="173">
        <f t="shared" si="76"/>
        <v>0</v>
      </c>
      <c r="Z265" s="104">
        <f t="shared" si="77"/>
        <v>1</v>
      </c>
    </row>
    <row r="266" spans="1:26" hidden="1" x14ac:dyDescent="0.25">
      <c r="A266" s="196" t="str">
        <f t="shared" si="72"/>
        <v>Kunstgødning</v>
      </c>
      <c r="B266" s="196" t="str">
        <f t="shared" si="73"/>
        <v/>
      </c>
      <c r="C266" s="196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6">
        <f t="shared" si="74"/>
        <v>2050</v>
      </c>
      <c r="E266" s="194" t="s">
        <v>25</v>
      </c>
      <c r="F266" s="197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4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7" t="e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#REF!</v>
      </c>
      <c r="L266" s="197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9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6" t="e">
        <f t="shared" ca="1" si="62"/>
        <v>#REF!</v>
      </c>
      <c r="O266" s="197">
        <f t="shared" si="75"/>
        <v>0</v>
      </c>
      <c r="P266" s="207">
        <f t="shared" si="63"/>
        <v>0</v>
      </c>
      <c r="Q266" s="194">
        <f>IFERROR(VLOOKUP(A266,[1]Energiindhold!$A$2:$C$11,3,FALSE),IFERROR(VLOOKUP(A266,[1]Biogasudbytte!$A$2:$B$18,2,FALSE)*[1]Energiindhold!$C$10,0))*O266</f>
        <v>0</v>
      </c>
      <c r="R266" s="194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4">
        <f>IFERROR(VLOOKUP(A266,[1]Biogasudbytte!$A$2:$B$18,2,FALSE)*[1]Energiindhold!$C$10,0)*J266*IFERROR(VLOOKUP(A266,Biogasanlæg!$F$3:$G$8,2,FALSE),1)</f>
        <v>0</v>
      </c>
      <c r="T266" s="195">
        <f t="shared" si="64"/>
        <v>0</v>
      </c>
      <c r="U266" s="193">
        <f>O266*IFERROR(VLOOKUP(A266,[1]Tørstofindhold!A$2:B$25,2,FALSE),0)</f>
        <v>0</v>
      </c>
      <c r="V266" s="194">
        <f>IF(D266=År1,P266,SUM(O266,P266))*IFERROR(VLOOKUP(A266,[1]Tørstofindhold!A$2:B$25,2,FALSE),0)</f>
        <v>0</v>
      </c>
      <c r="W266" s="194">
        <f>J266*IFERROR(VLOOKUP(A266,[1]Tørstofindhold!A$2:B$25,2,FALSE),0)</f>
        <v>0</v>
      </c>
      <c r="X266" s="195">
        <f t="shared" si="65"/>
        <v>0</v>
      </c>
      <c r="Y266" s="173" t="e">
        <f t="shared" ca="1" si="76"/>
        <v>#REF!</v>
      </c>
      <c r="Z266" s="104" t="e">
        <f t="shared" ca="1" si="77"/>
        <v>#REF!</v>
      </c>
    </row>
    <row r="267" spans="1:26" hidden="1" x14ac:dyDescent="0.25">
      <c r="A267" s="196" t="str">
        <f t="shared" si="72"/>
        <v>Kvæggylle</v>
      </c>
      <c r="B267" s="196" t="str">
        <f t="shared" si="73"/>
        <v>Husdyrgødning</v>
      </c>
      <c r="C267" s="196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6">
        <f t="shared" si="74"/>
        <v>2050</v>
      </c>
      <c r="E267" s="194" t="s">
        <v>25</v>
      </c>
      <c r="F267" s="197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57848.828619790736</v>
      </c>
      <c r="G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4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41152.526310566187</v>
      </c>
      <c r="K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8609.541688657926</v>
      </c>
      <c r="L267" s="197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9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6">
        <f t="shared" si="62"/>
        <v>8086.7606205666234</v>
      </c>
      <c r="O267" s="197">
        <f t="shared" si="75"/>
        <v>8086.7606205666234</v>
      </c>
      <c r="P267" s="207">
        <f t="shared" si="63"/>
        <v>41152.526310566187</v>
      </c>
      <c r="Q267" s="194">
        <f>IFERROR(VLOOKUP(A267,[1]Energiindhold!$A$2:$C$11,3,FALSE),IFERROR(VLOOKUP(A267,[1]Biogasudbytte!$A$2:$B$18,2,FALSE)*[1]Energiindhold!$C$10,0))*O267</f>
        <v>4.0934373585246198E-3</v>
      </c>
      <c r="R267" s="194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2.4924434651670123E-2</v>
      </c>
      <c r="S267" s="194">
        <f>IFERROR(VLOOKUP(A267,[1]Biogasudbytte!$A$2:$B$18,2,FALSE)*[1]Energiindhold!$C$10,0)*J267*IFERROR(VLOOKUP(A267,Biogasanlæg!$F$3:$G$8,2,FALSE),1)</f>
        <v>2.0830997293145501E-2</v>
      </c>
      <c r="T267" s="195">
        <f t="shared" si="64"/>
        <v>4.0934373585246216E-3</v>
      </c>
      <c r="U267" s="193">
        <f>O267*IFERROR(VLOOKUP(A267,[1]Tørstofindhold!A$2:B$25,2,FALSE),0)</f>
        <v>614.59380716306339</v>
      </c>
      <c r="V267" s="194">
        <f>IF(D267=År1,P267,SUM(O267,P267))*IFERROR(VLOOKUP(A267,[1]Tørstofindhold!A$2:B$25,2,FALSE),0)</f>
        <v>3742.1858067660937</v>
      </c>
      <c r="W267" s="194">
        <f>J267*IFERROR(VLOOKUP(A267,[1]Tørstofindhold!A$2:B$25,2,FALSE),0)</f>
        <v>3127.5919996030302</v>
      </c>
      <c r="X267" s="195">
        <f t="shared" si="65"/>
        <v>614.5938071630635</v>
      </c>
      <c r="Y267" s="173">
        <f t="shared" si="76"/>
        <v>0</v>
      </c>
      <c r="Z267" s="104">
        <f t="shared" si="77"/>
        <v>1</v>
      </c>
    </row>
    <row r="268" spans="1:26" hidden="1" x14ac:dyDescent="0.25">
      <c r="A268" s="196" t="str">
        <f t="shared" si="72"/>
        <v>Mælk til foder</v>
      </c>
      <c r="B268" s="196" t="str">
        <f t="shared" si="73"/>
        <v/>
      </c>
      <c r="C268" s="196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6">
        <f t="shared" si="74"/>
        <v>2050</v>
      </c>
      <c r="E268" s="194" t="s">
        <v>25</v>
      </c>
      <c r="F268" s="197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6893.1595177805384</v>
      </c>
      <c r="G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18604.049371289228</v>
      </c>
      <c r="H268" s="194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7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9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6">
        <f t="shared" si="62"/>
        <v>-11710.889853508688</v>
      </c>
      <c r="O268" s="197">
        <f t="shared" si="75"/>
        <v>0</v>
      </c>
      <c r="P268" s="207">
        <f t="shared" si="63"/>
        <v>0</v>
      </c>
      <c r="Q268" s="194">
        <f>IFERROR(VLOOKUP(A268,[1]Energiindhold!$A$2:$C$11,3,FALSE),IFERROR(VLOOKUP(A268,[1]Biogasudbytte!$A$2:$B$18,2,FALSE)*[1]Energiindhold!$C$10,0))*O268</f>
        <v>0</v>
      </c>
      <c r="R268" s="194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4">
        <f>IFERROR(VLOOKUP(A268,[1]Biogasudbytte!$A$2:$B$18,2,FALSE)*[1]Energiindhold!$C$10,0)*J268*IFERROR(VLOOKUP(A268,Biogasanlæg!$F$3:$G$8,2,FALSE),1)</f>
        <v>0</v>
      </c>
      <c r="T268" s="195">
        <f t="shared" si="64"/>
        <v>0</v>
      </c>
      <c r="U268" s="193">
        <f>O268*IFERROR(VLOOKUP(A268,[1]Tørstofindhold!A$2:B$25,2,FALSE),0)</f>
        <v>0</v>
      </c>
      <c r="V268" s="194">
        <f>IF(D268=År1,P268,SUM(O268,P268))*IFERROR(VLOOKUP(A268,[1]Tørstofindhold!A$2:B$25,2,FALSE),0)</f>
        <v>0</v>
      </c>
      <c r="W268" s="194">
        <f>J268*IFERROR(VLOOKUP(A268,[1]Tørstofindhold!A$2:B$25,2,FALSE),0)</f>
        <v>0</v>
      </c>
      <c r="X268" s="195">
        <f t="shared" si="65"/>
        <v>0</v>
      </c>
      <c r="Y268" s="173">
        <f t="shared" si="76"/>
        <v>1</v>
      </c>
      <c r="Z268" s="104">
        <f t="shared" si="77"/>
        <v>0</v>
      </c>
    </row>
    <row r="269" spans="1:26" hidden="1" x14ac:dyDescent="0.25">
      <c r="A269" s="196" t="str">
        <f t="shared" si="72"/>
        <v>Majs</v>
      </c>
      <c r="B269" s="196" t="str">
        <f t="shared" si="73"/>
        <v>Græs og urter</v>
      </c>
      <c r="C269" s="196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6">
        <f t="shared" si="74"/>
        <v>2050</v>
      </c>
      <c r="E269" s="194" t="s">
        <v>25</v>
      </c>
      <c r="F269" s="197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235303.4925381059</v>
      </c>
      <c r="G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69435.326110928756</v>
      </c>
      <c r="H269" s="194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0</v>
      </c>
      <c r="K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7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9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6">
        <f t="shared" si="62"/>
        <v>165868.16642717714</v>
      </c>
      <c r="O269" s="197">
        <f t="shared" si="75"/>
        <v>165868.16642717714</v>
      </c>
      <c r="P269" s="207">
        <f t="shared" si="63"/>
        <v>0</v>
      </c>
      <c r="Q269" s="194">
        <f>IFERROR(VLOOKUP(A269,[1]Energiindhold!$A$2:$C$11,3,FALSE),IFERROR(VLOOKUP(A269,[1]Biogasudbytte!$A$2:$B$18,2,FALSE)*[1]Energiindhold!$C$10,0))*O269</f>
        <v>0.59546671747356605</v>
      </c>
      <c r="R269" s="194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0.59546671747356605</v>
      </c>
      <c r="S269" s="194">
        <f>IFERROR(VLOOKUP(A269,[1]Biogasudbytte!$A$2:$B$18,2,FALSE)*[1]Energiindhold!$C$10,0)*J269*IFERROR(VLOOKUP(A269,Biogasanlæg!$F$3:$G$8,2,FALSE),1)</f>
        <v>0</v>
      </c>
      <c r="T269" s="195">
        <f t="shared" si="64"/>
        <v>0.59546671747356605</v>
      </c>
      <c r="U269" s="193">
        <f>O269*IFERROR(VLOOKUP(A269,[1]Tørstofindhold!A$2:B$25,2,FALSE),0)</f>
        <v>49760.449928153139</v>
      </c>
      <c r="V269" s="194">
        <f>IF(D269=År1,P269,SUM(O269,P269))*IFERROR(VLOOKUP(A269,[1]Tørstofindhold!A$2:B$25,2,FALSE),0)</f>
        <v>49760.449928153139</v>
      </c>
      <c r="W269" s="194">
        <f>J269*IFERROR(VLOOKUP(A269,[1]Tørstofindhold!A$2:B$25,2,FALSE),0)</f>
        <v>0</v>
      </c>
      <c r="X269" s="195">
        <f t="shared" si="65"/>
        <v>49760.449928153139</v>
      </c>
      <c r="Y269" s="173">
        <f t="shared" si="76"/>
        <v>0</v>
      </c>
      <c r="Z269" s="104">
        <f t="shared" si="77"/>
        <v>1</v>
      </c>
    </row>
    <row r="270" spans="1:26" hidden="1" x14ac:dyDescent="0.25">
      <c r="A270" s="196" t="str">
        <f t="shared" si="72"/>
        <v>Mejeriprodukter</v>
      </c>
      <c r="B270" s="196" t="str">
        <f t="shared" si="73"/>
        <v/>
      </c>
      <c r="C270" s="196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6">
        <f t="shared" si="74"/>
        <v>2050</v>
      </c>
      <c r="E270" s="194" t="s">
        <v>25</v>
      </c>
      <c r="F270" s="197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13300.220392989411</v>
      </c>
      <c r="G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4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7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9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6">
        <f t="shared" si="62"/>
        <v>-414913.80889848893</v>
      </c>
      <c r="O270" s="197">
        <f t="shared" si="75"/>
        <v>0</v>
      </c>
      <c r="P270" s="207">
        <f t="shared" si="63"/>
        <v>0</v>
      </c>
      <c r="Q270" s="194">
        <f>IFERROR(VLOOKUP(A270,[1]Energiindhold!$A$2:$C$11,3,FALSE),IFERROR(VLOOKUP(A270,[1]Biogasudbytte!$A$2:$B$18,2,FALSE)*[1]Energiindhold!$C$10,0))*O270</f>
        <v>0</v>
      </c>
      <c r="R270" s="194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4">
        <f>IFERROR(VLOOKUP(A270,[1]Biogasudbytte!$A$2:$B$18,2,FALSE)*[1]Energiindhold!$C$10,0)*J270*IFERROR(VLOOKUP(A270,Biogasanlæg!$F$3:$G$8,2,FALSE),1)</f>
        <v>0</v>
      </c>
      <c r="T270" s="195">
        <f t="shared" si="64"/>
        <v>0</v>
      </c>
      <c r="U270" s="193">
        <f>O270*IFERROR(VLOOKUP(A270,[1]Tørstofindhold!A$2:B$25,2,FALSE),0)</f>
        <v>0</v>
      </c>
      <c r="V270" s="194">
        <f>IF(D270=År1,P270,SUM(O270,P270))*IFERROR(VLOOKUP(A270,[1]Tørstofindhold!A$2:B$25,2,FALSE),0)</f>
        <v>0</v>
      </c>
      <c r="W270" s="194">
        <f>J270*IFERROR(VLOOKUP(A270,[1]Tørstofindhold!A$2:B$25,2,FALSE),0)</f>
        <v>0</v>
      </c>
      <c r="X270" s="195">
        <f t="shared" si="65"/>
        <v>0</v>
      </c>
      <c r="Y270" s="173">
        <f t="shared" si="76"/>
        <v>1</v>
      </c>
      <c r="Z270" s="104">
        <f t="shared" si="77"/>
        <v>0</v>
      </c>
    </row>
    <row r="271" spans="1:26" hidden="1" x14ac:dyDescent="0.25">
      <c r="A271" s="196" t="str">
        <f t="shared" si="72"/>
        <v>Muslinger</v>
      </c>
      <c r="B271" s="196" t="str">
        <f t="shared" si="73"/>
        <v>Havbiomasse</v>
      </c>
      <c r="C271" s="196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6">
        <f t="shared" si="74"/>
        <v>2050</v>
      </c>
      <c r="E271" s="194" t="s">
        <v>25</v>
      </c>
      <c r="F271" s="197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4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7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9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6">
        <f t="shared" si="62"/>
        <v>54055.586300748466</v>
      </c>
      <c r="O271" s="197">
        <f t="shared" si="75"/>
        <v>54055.586300748466</v>
      </c>
      <c r="P271" s="207">
        <f t="shared" si="63"/>
        <v>0</v>
      </c>
      <c r="Q271" s="194">
        <f>IFERROR(VLOOKUP(A271,[1]Energiindhold!$A$2:$C$11,3,FALSE),IFERROR(VLOOKUP(A271,[1]Biogasudbytte!$A$2:$B$18,2,FALSE)*[1]Energiindhold!$C$10,0))*O271</f>
        <v>4.8514888704921752E-2</v>
      </c>
      <c r="R271" s="194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4">
        <f>IFERROR(VLOOKUP(A271,[1]Biogasudbytte!$A$2:$B$18,2,FALSE)*[1]Energiindhold!$C$10,0)*J271*IFERROR(VLOOKUP(A271,Biogasanlæg!$F$3:$G$8,2,FALSE),1)</f>
        <v>0</v>
      </c>
      <c r="T271" s="195">
        <f t="shared" si="64"/>
        <v>4.8514888704921752E-2</v>
      </c>
      <c r="U271" s="193">
        <f>O271*IFERROR(VLOOKUP(A271,[1]Tørstofindhold!A$2:B$25,2,FALSE),0)</f>
        <v>8108.3379451122692</v>
      </c>
      <c r="V271" s="194">
        <f>IF(D271=År1,P271,SUM(O271,P271))*IFERROR(VLOOKUP(A271,[1]Tørstofindhold!A$2:B$25,2,FALSE),0)</f>
        <v>8108.3379451122692</v>
      </c>
      <c r="W271" s="194">
        <f>J271*IFERROR(VLOOKUP(A271,[1]Tørstofindhold!A$2:B$25,2,FALSE),0)</f>
        <v>0</v>
      </c>
      <c r="X271" s="195">
        <f t="shared" si="65"/>
        <v>8108.3379451122692</v>
      </c>
      <c r="Y271" s="173">
        <f t="shared" si="76"/>
        <v>0</v>
      </c>
      <c r="Z271" s="104">
        <f t="shared" si="77"/>
        <v>1</v>
      </c>
    </row>
    <row r="272" spans="1:26" hidden="1" x14ac:dyDescent="0.25">
      <c r="A272" s="196" t="str">
        <f t="shared" si="72"/>
        <v>Oksekød</v>
      </c>
      <c r="B272" s="196" t="str">
        <f t="shared" si="73"/>
        <v/>
      </c>
      <c r="C272" s="196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6">
        <f t="shared" si="74"/>
        <v>2050</v>
      </c>
      <c r="E272" s="194" t="s">
        <v>25</v>
      </c>
      <c r="F272" s="197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235.07832093771063</v>
      </c>
      <c r="G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4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0</v>
      </c>
      <c r="J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7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9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6">
        <f t="shared" si="62"/>
        <v>235.07832093771063</v>
      </c>
      <c r="O272" s="197">
        <f t="shared" si="75"/>
        <v>0</v>
      </c>
      <c r="P272" s="207">
        <f t="shared" si="63"/>
        <v>0</v>
      </c>
      <c r="Q272" s="194">
        <f>IFERROR(VLOOKUP(A272,[1]Energiindhold!$A$2:$C$11,3,FALSE),IFERROR(VLOOKUP(A272,[1]Biogasudbytte!$A$2:$B$18,2,FALSE)*[1]Energiindhold!$C$10,0))*O272</f>
        <v>0</v>
      </c>
      <c r="R272" s="194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4">
        <f>IFERROR(VLOOKUP(A272,[1]Biogasudbytte!$A$2:$B$18,2,FALSE)*[1]Energiindhold!$C$10,0)*J272*IFERROR(VLOOKUP(A272,Biogasanlæg!$F$3:$G$8,2,FALSE),1)</f>
        <v>0</v>
      </c>
      <c r="T272" s="195">
        <f t="shared" si="64"/>
        <v>0</v>
      </c>
      <c r="U272" s="193">
        <f>O272*IFERROR(VLOOKUP(A272,[1]Tørstofindhold!A$2:B$25,2,FALSE),0)</f>
        <v>0</v>
      </c>
      <c r="V272" s="194">
        <f>IF(D272=År1,P272,SUM(O272,P272))*IFERROR(VLOOKUP(A272,[1]Tørstofindhold!A$2:B$25,2,FALSE),0)</f>
        <v>0</v>
      </c>
      <c r="W272" s="194">
        <f>J272*IFERROR(VLOOKUP(A272,[1]Tørstofindhold!A$2:B$25,2,FALSE),0)</f>
        <v>0</v>
      </c>
      <c r="X272" s="195">
        <f t="shared" si="65"/>
        <v>0</v>
      </c>
      <c r="Y272" s="173">
        <f t="shared" si="76"/>
        <v>0</v>
      </c>
      <c r="Z272" s="104">
        <f t="shared" si="77"/>
        <v>1</v>
      </c>
    </row>
    <row r="273" spans="1:26" hidden="1" x14ac:dyDescent="0.25">
      <c r="A273" s="196" t="str">
        <f t="shared" si="72"/>
        <v>Øvrige</v>
      </c>
      <c r="B273" s="196" t="str">
        <f t="shared" si="73"/>
        <v/>
      </c>
      <c r="C273" s="196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6">
        <f t="shared" si="74"/>
        <v>2050</v>
      </c>
      <c r="E273" s="194" t="s">
        <v>25</v>
      </c>
      <c r="F273" s="197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179727.17627336323</v>
      </c>
      <c r="G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4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7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9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6">
        <f t="shared" si="62"/>
        <v>179727.17627336323</v>
      </c>
      <c r="O273" s="197">
        <f t="shared" si="75"/>
        <v>0</v>
      </c>
      <c r="P273" s="207">
        <f t="shared" si="63"/>
        <v>0</v>
      </c>
      <c r="Q273" s="194">
        <f>IFERROR(VLOOKUP(A273,[1]Energiindhold!$A$2:$C$11,3,FALSE),IFERROR(VLOOKUP(A273,[1]Biogasudbytte!$A$2:$B$18,2,FALSE)*[1]Energiindhold!$C$10,0))*O273</f>
        <v>0</v>
      </c>
      <c r="R273" s="194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4">
        <f>IFERROR(VLOOKUP(A273,[1]Biogasudbytte!$A$2:$B$18,2,FALSE)*[1]Energiindhold!$C$10,0)*J273*IFERROR(VLOOKUP(A273,Biogasanlæg!$F$3:$G$8,2,FALSE),1)</f>
        <v>0</v>
      </c>
      <c r="T273" s="195">
        <f t="shared" si="64"/>
        <v>0</v>
      </c>
      <c r="U273" s="193">
        <f>O273*IFERROR(VLOOKUP(A273,[1]Tørstofindhold!A$2:B$25,2,FALSE),0)</f>
        <v>0</v>
      </c>
      <c r="V273" s="194">
        <f>IF(D273=År1,P273,SUM(O273,P273))*IFERROR(VLOOKUP(A273,[1]Tørstofindhold!A$2:B$25,2,FALSE),0)</f>
        <v>0</v>
      </c>
      <c r="W273" s="194">
        <f>J273*IFERROR(VLOOKUP(A273,[1]Tørstofindhold!A$2:B$25,2,FALSE),0)</f>
        <v>0</v>
      </c>
      <c r="X273" s="195">
        <f t="shared" si="65"/>
        <v>0</v>
      </c>
      <c r="Y273" s="173">
        <f t="shared" si="76"/>
        <v>0</v>
      </c>
      <c r="Z273" s="104">
        <f t="shared" si="77"/>
        <v>1</v>
      </c>
    </row>
    <row r="274" spans="1:26" hidden="1" x14ac:dyDescent="0.25">
      <c r="A274" s="196" t="str">
        <f t="shared" si="72"/>
        <v>Pil &amp; poppel</v>
      </c>
      <c r="B274" s="196" t="str">
        <f t="shared" si="73"/>
        <v>Vedmasse</v>
      </c>
      <c r="C274" s="196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6">
        <f t="shared" si="74"/>
        <v>2050</v>
      </c>
      <c r="E274" s="194" t="s">
        <v>25</v>
      </c>
      <c r="F274" s="197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15346.636618106591</v>
      </c>
      <c r="G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4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7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15346.636618106591</v>
      </c>
      <c r="M274" s="159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6">
        <f t="shared" si="62"/>
        <v>0</v>
      </c>
      <c r="O274" s="197">
        <f t="shared" si="75"/>
        <v>0</v>
      </c>
      <c r="P274" s="207">
        <f t="shared" si="63"/>
        <v>15346.636618106591</v>
      </c>
      <c r="Q274" s="194">
        <f>IFERROR(VLOOKUP(A274,[1]Energiindhold!$A$2:$C$11,3,FALSE),IFERROR(VLOOKUP(A274,[1]Biogasudbytte!$A$2:$B$18,2,FALSE)*[1]Energiindhold!$C$10,0))*O274</f>
        <v>0</v>
      </c>
      <c r="R274" s="194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0.28237811377316124</v>
      </c>
      <c r="S274" s="194">
        <f>IFERROR(VLOOKUP(A274,[1]Biogasudbytte!$A$2:$B$18,2,FALSE)*[1]Energiindhold!$C$10,0)*J274*IFERROR(VLOOKUP(A274,Biogasanlæg!$F$3:$G$8,2,FALSE),1)</f>
        <v>0</v>
      </c>
      <c r="T274" s="195">
        <f t="shared" si="64"/>
        <v>0.28237811377316124</v>
      </c>
      <c r="U274" s="193">
        <f>O274*IFERROR(VLOOKUP(A274,[1]Tørstofindhold!A$2:B$25,2,FALSE),0)</f>
        <v>0</v>
      </c>
      <c r="V274" s="194">
        <f>IF(D274=År1,P274,SUM(O274,P274))*IFERROR(VLOOKUP(A274,[1]Tørstofindhold!A$2:B$25,2,FALSE),0)</f>
        <v>6368.8541965142358</v>
      </c>
      <c r="W274" s="194">
        <f>J274*IFERROR(VLOOKUP(A274,[1]Tørstofindhold!A$2:B$25,2,FALSE),0)</f>
        <v>0</v>
      </c>
      <c r="X274" s="195">
        <f t="shared" si="65"/>
        <v>6368.8541965142358</v>
      </c>
      <c r="Y274" s="173">
        <f t="shared" si="76"/>
        <v>0</v>
      </c>
      <c r="Z274" s="104">
        <f t="shared" si="77"/>
        <v>0</v>
      </c>
    </row>
    <row r="275" spans="1:26" hidden="1" x14ac:dyDescent="0.25">
      <c r="A275" s="196" t="str">
        <f t="shared" ref="A275:A276" si="78">A227</f>
        <v>Pyrolysegas</v>
      </c>
      <c r="B275" s="196" t="str">
        <f t="shared" ref="B275:B276" si="79">IF(B227&lt;&gt;"",B227,"")</f>
        <v>Pyrolyseprodukter</v>
      </c>
      <c r="C275" s="196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6">
        <f t="shared" si="74"/>
        <v>2050</v>
      </c>
      <c r="E275" s="194" t="s">
        <v>25</v>
      </c>
      <c r="F275" s="197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4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7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9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6">
        <f t="shared" ref="N275:N276" si="80">F275-SUM(G275:M275)</f>
        <v>0</v>
      </c>
      <c r="O275" s="197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7">
        <f t="shared" ref="P275:P276" si="82">SUM(J275,L275)</f>
        <v>0</v>
      </c>
      <c r="Q275" s="194">
        <f>IFERROR(VLOOKUP(A275,[1]Energiindhold!$A$2:$C$11,3,FALSE),IFERROR(VLOOKUP(A275,[1]Biogasudbytte!$A$2:$B$18,2,FALSE)*[1]Energiindhold!$C$10,0))*O275</f>
        <v>0</v>
      </c>
      <c r="R275" s="194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4">
        <f>IFERROR(VLOOKUP(A275,[1]Biogasudbytte!$A$2:$B$18,2,FALSE)*[1]Energiindhold!$C$10,0)*J275*IFERROR(VLOOKUP(A275,Biogasanlæg!$F$3:$G$8,2,FALSE),1)</f>
        <v>0</v>
      </c>
      <c r="T275" s="195">
        <f t="shared" ref="T275:T276" si="83">R275-S275</f>
        <v>0</v>
      </c>
      <c r="U275" s="193">
        <f>O275*IFERROR(VLOOKUP(A275,[1]Tørstofindhold!A$2:B$25,2,FALSE),0)</f>
        <v>0</v>
      </c>
      <c r="V275" s="194">
        <f>IF(D275=År1,P275,SUM(O275,P275))*IFERROR(VLOOKUP(A275,[1]Tørstofindhold!A$2:B$25,2,FALSE),0)</f>
        <v>0</v>
      </c>
      <c r="W275" s="194">
        <f>J275*IFERROR(VLOOKUP(A275,[1]Tørstofindhold!A$2:B$25,2,FALSE),0)</f>
        <v>0</v>
      </c>
      <c r="X275" s="195">
        <f t="shared" ref="X275:X276" si="84">V275-W275</f>
        <v>0</v>
      </c>
      <c r="Y275" s="173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hidden="1" x14ac:dyDescent="0.25">
      <c r="A276" s="196" t="str">
        <f t="shared" si="78"/>
        <v>Pyrolyseolie</v>
      </c>
      <c r="B276" s="196" t="str">
        <f t="shared" si="79"/>
        <v>Pyrolyseprodukter</v>
      </c>
      <c r="C276" s="196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6">
        <f t="shared" si="74"/>
        <v>2050</v>
      </c>
      <c r="E276" s="194" t="s">
        <v>25</v>
      </c>
      <c r="F276" s="197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4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7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9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6">
        <f t="shared" si="80"/>
        <v>0</v>
      </c>
      <c r="O276" s="197">
        <f t="shared" si="81"/>
        <v>0</v>
      </c>
      <c r="P276" s="207">
        <f t="shared" si="82"/>
        <v>0</v>
      </c>
      <c r="Q276" s="194">
        <f>IFERROR(VLOOKUP(A276,[1]Energiindhold!$A$2:$C$11,3,FALSE),IFERROR(VLOOKUP(A276,[1]Biogasudbytte!$A$2:$B$18,2,FALSE)*[1]Energiindhold!$C$10,0))*O276</f>
        <v>0</v>
      </c>
      <c r="R276" s="194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4">
        <f>IFERROR(VLOOKUP(A276,[1]Biogasudbytte!$A$2:$B$18,2,FALSE)*[1]Energiindhold!$C$10,0)*J276*IFERROR(VLOOKUP(A276,Biogasanlæg!$F$3:$G$8,2,FALSE),1)</f>
        <v>0</v>
      </c>
      <c r="T276" s="195">
        <f t="shared" si="83"/>
        <v>0</v>
      </c>
      <c r="U276" s="193">
        <f>O276*IFERROR(VLOOKUP(A276,[1]Tørstofindhold!A$2:B$25,2,FALSE),0)</f>
        <v>0</v>
      </c>
      <c r="V276" s="194">
        <f>IF(D276=År1,P276,SUM(O276,P276))*IFERROR(VLOOKUP(A276,[1]Tørstofindhold!A$2:B$25,2,FALSE),0)</f>
        <v>0</v>
      </c>
      <c r="W276" s="194">
        <f>J276*IFERROR(VLOOKUP(A276,[1]Tørstofindhold!A$2:B$25,2,FALSE),0)</f>
        <v>0</v>
      </c>
      <c r="X276" s="195">
        <f t="shared" si="84"/>
        <v>0</v>
      </c>
      <c r="Y276" s="173">
        <f t="shared" si="85"/>
        <v>0</v>
      </c>
      <c r="Z276" s="104">
        <f t="shared" si="86"/>
        <v>0</v>
      </c>
    </row>
    <row r="277" spans="1:26" hidden="1" x14ac:dyDescent="0.25">
      <c r="A277" s="196" t="str">
        <f t="shared" ref="A277:A290" si="87">A229</f>
        <v>Råmælk</v>
      </c>
      <c r="B277" s="196" t="str">
        <f t="shared" ref="B277:B290" si="88">IF(B229&lt;&gt;"",B229,"")</f>
        <v/>
      </c>
      <c r="C277" s="196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6">
        <f t="shared" si="74"/>
        <v>2050</v>
      </c>
      <c r="E277" s="194" t="s">
        <v>25</v>
      </c>
      <c r="F277" s="197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22096.46834587499</v>
      </c>
      <c r="G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4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7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9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6">
        <f t="shared" si="62"/>
        <v>22096.46834587499</v>
      </c>
      <c r="O277" s="197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7">
        <f t="shared" si="63"/>
        <v>0</v>
      </c>
      <c r="Q277" s="194">
        <f>IFERROR(VLOOKUP(A277,[1]Energiindhold!$A$2:$C$11,3,FALSE),IFERROR(VLOOKUP(A277,[1]Biogasudbytte!$A$2:$B$18,2,FALSE)*[1]Energiindhold!$C$10,0))*O277</f>
        <v>0</v>
      </c>
      <c r="R277" s="194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4">
        <f>IFERROR(VLOOKUP(A277,[1]Biogasudbytte!$A$2:$B$18,2,FALSE)*[1]Energiindhold!$C$10,0)*J277*IFERROR(VLOOKUP(A277,Biogasanlæg!$F$3:$G$8,2,FALSE),1)</f>
        <v>0</v>
      </c>
      <c r="T277" s="195">
        <f t="shared" si="64"/>
        <v>0</v>
      </c>
      <c r="U277" s="193">
        <f>O277*IFERROR(VLOOKUP(A277,[1]Tørstofindhold!A$2:B$25,2,FALSE),0)</f>
        <v>0</v>
      </c>
      <c r="V277" s="194">
        <f>IF(D277=År1,P277,SUM(O277,P277))*IFERROR(VLOOKUP(A277,[1]Tørstofindhold!A$2:B$25,2,FALSE),0)</f>
        <v>0</v>
      </c>
      <c r="W277" s="194">
        <f>J277*IFERROR(VLOOKUP(A277,[1]Tørstofindhold!A$2:B$25,2,FALSE),0)</f>
        <v>0</v>
      </c>
      <c r="X277" s="195">
        <f t="shared" si="65"/>
        <v>0</v>
      </c>
      <c r="Y277" s="173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hidden="1" x14ac:dyDescent="0.25">
      <c r="A278" s="196" t="str">
        <f t="shared" si="87"/>
        <v>Raps</v>
      </c>
      <c r="B278" s="196" t="str">
        <f t="shared" si="88"/>
        <v/>
      </c>
      <c r="C278" s="196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6">
        <f t="shared" si="74"/>
        <v>2050</v>
      </c>
      <c r="E278" s="194" t="s">
        <v>25</v>
      </c>
      <c r="F278" s="197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85839.954583586805</v>
      </c>
      <c r="G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4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7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9">
        <f>SUMIFS('Forbrug af biomasse'!E:E,'Forbrug af biomasse'!C:C,'Resultat-Produktion &amp; forbrug'!$A278,'Forbrug af biomasse'!D:D,'Resultat-Produktion &amp; forbrug'!$D278,'Forbrug af biomasse'!G:G,1,'Forbrug af biomasse'!B:B,$E278)</f>
        <v>85839.954583586805</v>
      </c>
      <c r="N278" s="206">
        <f t="shared" si="62"/>
        <v>0</v>
      </c>
      <c r="O278" s="197">
        <f t="shared" si="89"/>
        <v>0</v>
      </c>
      <c r="P278" s="207">
        <f t="shared" si="63"/>
        <v>0</v>
      </c>
      <c r="Q278" s="194">
        <f>IFERROR(VLOOKUP(A278,[1]Energiindhold!$A$2:$C$11,3,FALSE),IFERROR(VLOOKUP(A278,[1]Biogasudbytte!$A$2:$B$18,2,FALSE)*[1]Energiindhold!$C$10,0))*O278</f>
        <v>0</v>
      </c>
      <c r="R278" s="194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4">
        <f>IFERROR(VLOOKUP(A278,[1]Biogasudbytte!$A$2:$B$18,2,FALSE)*[1]Energiindhold!$C$10,0)*J278*IFERROR(VLOOKUP(A278,Biogasanlæg!$F$3:$G$8,2,FALSE),1)</f>
        <v>0</v>
      </c>
      <c r="T278" s="195">
        <f t="shared" si="64"/>
        <v>0</v>
      </c>
      <c r="U278" s="193">
        <f>O278*IFERROR(VLOOKUP(A278,[1]Tørstofindhold!A$2:B$25,2,FALSE),0)</f>
        <v>0</v>
      </c>
      <c r="V278" s="194">
        <f>IF(D278=År1,P278,SUM(O278,P278))*IFERROR(VLOOKUP(A278,[1]Tørstofindhold!A$2:B$25,2,FALSE),0)</f>
        <v>0</v>
      </c>
      <c r="W278" s="194">
        <f>J278*IFERROR(VLOOKUP(A278,[1]Tørstofindhold!A$2:B$25,2,FALSE),0)</f>
        <v>0</v>
      </c>
      <c r="X278" s="195">
        <f t="shared" si="65"/>
        <v>0</v>
      </c>
      <c r="Y278" s="173">
        <f t="shared" si="90"/>
        <v>0</v>
      </c>
      <c r="Z278" s="104">
        <f t="shared" si="91"/>
        <v>0</v>
      </c>
    </row>
    <row r="279" spans="1:26" hidden="1" x14ac:dyDescent="0.25">
      <c r="A279" s="196" t="str">
        <f t="shared" si="87"/>
        <v>Rapskage</v>
      </c>
      <c r="B279" s="196" t="str">
        <f t="shared" si="88"/>
        <v/>
      </c>
      <c r="C279" s="196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6">
        <f t="shared" si="74"/>
        <v>2050</v>
      </c>
      <c r="E279" s="194" t="s">
        <v>25</v>
      </c>
      <c r="F279" s="197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42919.977291793402</v>
      </c>
      <c r="G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2627.8769501998377</v>
      </c>
      <c r="H279" s="194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7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9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6">
        <f t="shared" si="62"/>
        <v>40292.100341593563</v>
      </c>
      <c r="O279" s="197">
        <f t="shared" si="89"/>
        <v>0</v>
      </c>
      <c r="P279" s="207">
        <f t="shared" si="63"/>
        <v>0</v>
      </c>
      <c r="Q279" s="194">
        <f>IFERROR(VLOOKUP(A279,[1]Energiindhold!$A$2:$C$11,3,FALSE),IFERROR(VLOOKUP(A279,[1]Biogasudbytte!$A$2:$B$18,2,FALSE)*[1]Energiindhold!$C$10,0))*O279</f>
        <v>0</v>
      </c>
      <c r="R279" s="194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4">
        <f>IFERROR(VLOOKUP(A279,[1]Biogasudbytte!$A$2:$B$18,2,FALSE)*[1]Energiindhold!$C$10,0)*J279*IFERROR(VLOOKUP(A279,Biogasanlæg!$F$3:$G$8,2,FALSE),1)</f>
        <v>0</v>
      </c>
      <c r="T279" s="195">
        <f t="shared" si="64"/>
        <v>0</v>
      </c>
      <c r="U279" s="193">
        <f>O279*IFERROR(VLOOKUP(A279,[1]Tørstofindhold!A$2:B$25,2,FALSE),0)</f>
        <v>0</v>
      </c>
      <c r="V279" s="194">
        <f>IF(D279=År1,P279,SUM(O279,P279))*IFERROR(VLOOKUP(A279,[1]Tørstofindhold!A$2:B$25,2,FALSE),0)</f>
        <v>0</v>
      </c>
      <c r="W279" s="194">
        <f>J279*IFERROR(VLOOKUP(A279,[1]Tørstofindhold!A$2:B$25,2,FALSE),0)</f>
        <v>0</v>
      </c>
      <c r="X279" s="195">
        <f t="shared" si="65"/>
        <v>0</v>
      </c>
      <c r="Y279" s="173">
        <f t="shared" si="90"/>
        <v>0</v>
      </c>
      <c r="Z279" s="104">
        <f t="shared" si="91"/>
        <v>1</v>
      </c>
    </row>
    <row r="280" spans="1:26" hidden="1" x14ac:dyDescent="0.25">
      <c r="A280" s="196" t="str">
        <f t="shared" si="87"/>
        <v>Rapsolie</v>
      </c>
      <c r="B280" s="196" t="str">
        <f t="shared" si="88"/>
        <v>Rapsolie</v>
      </c>
      <c r="C280" s="196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6">
        <f t="shared" si="74"/>
        <v>2050</v>
      </c>
      <c r="E280" s="194" t="s">
        <v>25</v>
      </c>
      <c r="F280" s="197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27468.785466747777</v>
      </c>
      <c r="G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4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7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27468.785466747777</v>
      </c>
      <c r="M280" s="159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6">
        <f t="shared" si="62"/>
        <v>0</v>
      </c>
      <c r="O280" s="197">
        <f t="shared" si="89"/>
        <v>0</v>
      </c>
      <c r="P280" s="207">
        <f t="shared" si="63"/>
        <v>27468.785466747777</v>
      </c>
      <c r="Q280" s="194">
        <f>IFERROR(VLOOKUP(A280,[1]Energiindhold!$A$2:$C$11,3,FALSE),IFERROR(VLOOKUP(A280,[1]Biogasudbytte!$A$2:$B$18,2,FALSE)*[1]Energiindhold!$C$10,0))*O280</f>
        <v>0</v>
      </c>
      <c r="R280" s="194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0.96140749133617209</v>
      </c>
      <c r="S280" s="194">
        <f>IFERROR(VLOOKUP(A280,[1]Biogasudbytte!$A$2:$B$18,2,FALSE)*[1]Energiindhold!$C$10,0)*J280*IFERROR(VLOOKUP(A280,Biogasanlæg!$F$3:$G$8,2,FALSE),1)</f>
        <v>0</v>
      </c>
      <c r="T280" s="195">
        <f t="shared" si="64"/>
        <v>0.96140749133617209</v>
      </c>
      <c r="U280" s="193">
        <f>O280*IFERROR(VLOOKUP(A280,[1]Tørstofindhold!A$2:B$25,2,FALSE),0)</f>
        <v>0</v>
      </c>
      <c r="V280" s="194">
        <f>IF(D280=År1,P280,SUM(O280,P280))*IFERROR(VLOOKUP(A280,[1]Tørstofindhold!A$2:B$25,2,FALSE),0)</f>
        <v>24996.594774740479</v>
      </c>
      <c r="W280" s="194">
        <f>J280*IFERROR(VLOOKUP(A280,[1]Tørstofindhold!A$2:B$25,2,FALSE),0)</f>
        <v>0</v>
      </c>
      <c r="X280" s="195">
        <f t="shared" si="65"/>
        <v>24996.594774740479</v>
      </c>
      <c r="Y280" s="173">
        <f t="shared" si="90"/>
        <v>0</v>
      </c>
      <c r="Z280" s="104">
        <f t="shared" si="91"/>
        <v>0</v>
      </c>
    </row>
    <row r="281" spans="1:26" hidden="1" x14ac:dyDescent="0.25">
      <c r="A281" s="196" t="str">
        <f t="shared" si="87"/>
        <v>Roer</v>
      </c>
      <c r="B281" s="196" t="str">
        <f t="shared" si="88"/>
        <v>Græs og urter</v>
      </c>
      <c r="C281" s="196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6">
        <f t="shared" si="74"/>
        <v>2050</v>
      </c>
      <c r="E281" s="194" t="s">
        <v>25</v>
      </c>
      <c r="F281" s="197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247594.36294776335</v>
      </c>
      <c r="G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10324.58768300271</v>
      </c>
      <c r="H281" s="194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0</v>
      </c>
      <c r="K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7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9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6">
        <f t="shared" si="62"/>
        <v>237269.77526476065</v>
      </c>
      <c r="O281" s="197">
        <f t="shared" si="89"/>
        <v>209902.43302081013</v>
      </c>
      <c r="P281" s="207">
        <f t="shared" si="63"/>
        <v>0</v>
      </c>
      <c r="Q281" s="194">
        <f>IFERROR(VLOOKUP(A281,[1]Energiindhold!$A$2:$C$11,3,FALSE),IFERROR(VLOOKUP(A281,[1]Biogasudbytte!$A$2:$B$18,2,FALSE)*[1]Energiindhold!$C$10,0))*O281</f>
        <v>0.56968359931579948</v>
      </c>
      <c r="R281" s="194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0.56968359931579948</v>
      </c>
      <c r="S281" s="194">
        <f>IFERROR(VLOOKUP(A281,[1]Biogasudbytte!$A$2:$B$18,2,FALSE)*[1]Energiindhold!$C$10,0)*J281*IFERROR(VLOOKUP(A281,Biogasanlæg!$F$3:$G$8,2,FALSE),1)</f>
        <v>0</v>
      </c>
      <c r="T281" s="195">
        <f t="shared" si="64"/>
        <v>0.56968359931579948</v>
      </c>
      <c r="U281" s="193">
        <f>O281*IFERROR(VLOOKUP(A281,[1]Tørstofindhold!A$2:B$25,2,FALSE),0)</f>
        <v>41980.486604162026</v>
      </c>
      <c r="V281" s="194">
        <f>IF(D281=År1,P281,SUM(O281,P281))*IFERROR(VLOOKUP(A281,[1]Tørstofindhold!A$2:B$25,2,FALSE),0)</f>
        <v>41980.486604162026</v>
      </c>
      <c r="W281" s="194">
        <f>J281*IFERROR(VLOOKUP(A281,[1]Tørstofindhold!A$2:B$25,2,FALSE),0)</f>
        <v>0</v>
      </c>
      <c r="X281" s="195">
        <f t="shared" si="65"/>
        <v>41980.486604162026</v>
      </c>
      <c r="Y281" s="173">
        <f t="shared" si="90"/>
        <v>0</v>
      </c>
      <c r="Z281" s="104">
        <f t="shared" si="91"/>
        <v>1</v>
      </c>
    </row>
    <row r="282" spans="1:26" hidden="1" x14ac:dyDescent="0.25">
      <c r="A282" s="196" t="str">
        <f t="shared" si="87"/>
        <v>Slagteriaffald til andet</v>
      </c>
      <c r="B282" s="196" t="str">
        <f t="shared" si="88"/>
        <v/>
      </c>
      <c r="C282" s="196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6">
        <f t="shared" ref="D282:D290" si="92">År3</f>
        <v>2050</v>
      </c>
      <c r="E282" s="194" t="s">
        <v>25</v>
      </c>
      <c r="F282" s="197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867.75758971205016</v>
      </c>
      <c r="G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4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7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9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6">
        <f t="shared" ref="N282:N290" si="93">F282-SUM(G282:M282)</f>
        <v>867.75758971205016</v>
      </c>
      <c r="O282" s="197">
        <f t="shared" si="89"/>
        <v>0</v>
      </c>
      <c r="P282" s="207">
        <f t="shared" ref="P282:P290" si="94">SUM(J282,L282)</f>
        <v>0</v>
      </c>
      <c r="Q282" s="194">
        <f>IFERROR(VLOOKUP(A282,[1]Energiindhold!$A$2:$C$11,3,FALSE),IFERROR(VLOOKUP(A282,[1]Biogasudbytte!$A$2:$B$18,2,FALSE)*[1]Energiindhold!$C$10,0))*O282</f>
        <v>0</v>
      </c>
      <c r="R282" s="194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4">
        <f>IFERROR(VLOOKUP(A282,[1]Biogasudbytte!$A$2:$B$18,2,FALSE)*[1]Energiindhold!$C$10,0)*J282*IFERROR(VLOOKUP(A282,Biogasanlæg!$F$3:$G$8,2,FALSE),1)</f>
        <v>0</v>
      </c>
      <c r="T282" s="195">
        <f t="shared" ref="T282:T290" si="95">R282-S282</f>
        <v>0</v>
      </c>
      <c r="U282" s="193">
        <f>O282*IFERROR(VLOOKUP(A282,[1]Tørstofindhold!A$2:B$25,2,FALSE),0)</f>
        <v>0</v>
      </c>
      <c r="V282" s="194">
        <f>IF(D282=År1,P282,SUM(O282,P282))*IFERROR(VLOOKUP(A282,[1]Tørstofindhold!A$2:B$25,2,FALSE),0)</f>
        <v>0</v>
      </c>
      <c r="W282" s="194">
        <f>J282*IFERROR(VLOOKUP(A282,[1]Tørstofindhold!A$2:B$25,2,FALSE),0)</f>
        <v>0</v>
      </c>
      <c r="X282" s="195">
        <f t="shared" ref="X282:X290" si="96">V282-W282</f>
        <v>0</v>
      </c>
      <c r="Y282" s="173">
        <f t="shared" si="90"/>
        <v>0</v>
      </c>
      <c r="Z282" s="104">
        <f t="shared" si="91"/>
        <v>1</v>
      </c>
    </row>
    <row r="283" spans="1:26" hidden="1" x14ac:dyDescent="0.25">
      <c r="A283" s="196" t="str">
        <f t="shared" si="87"/>
        <v>Slagteriaffald til foder</v>
      </c>
      <c r="B283" s="196" t="str">
        <f t="shared" si="88"/>
        <v/>
      </c>
      <c r="C283" s="196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6">
        <f t="shared" si="92"/>
        <v>2050</v>
      </c>
      <c r="E283" s="194" t="s">
        <v>25</v>
      </c>
      <c r="F283" s="197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737.73165624574028</v>
      </c>
      <c r="G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483.79324606189488</v>
      </c>
      <c r="H283" s="194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7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9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6">
        <f t="shared" si="93"/>
        <v>253.93841018384541</v>
      </c>
      <c r="O283" s="197">
        <f t="shared" si="89"/>
        <v>0</v>
      </c>
      <c r="P283" s="207">
        <f t="shared" si="94"/>
        <v>0</v>
      </c>
      <c r="Q283" s="194">
        <f>IFERROR(VLOOKUP(A283,[1]Energiindhold!$A$2:$C$11,3,FALSE),IFERROR(VLOOKUP(A283,[1]Biogasudbytte!$A$2:$B$18,2,FALSE)*[1]Energiindhold!$C$10,0))*O283</f>
        <v>0</v>
      </c>
      <c r="R283" s="194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4">
        <f>IFERROR(VLOOKUP(A283,[1]Biogasudbytte!$A$2:$B$18,2,FALSE)*[1]Energiindhold!$C$10,0)*J283*IFERROR(VLOOKUP(A283,Biogasanlæg!$F$3:$G$8,2,FALSE),1)</f>
        <v>0</v>
      </c>
      <c r="T283" s="195">
        <f t="shared" si="95"/>
        <v>0</v>
      </c>
      <c r="U283" s="193">
        <f>O283*IFERROR(VLOOKUP(A283,[1]Tørstofindhold!A$2:B$25,2,FALSE),0)</f>
        <v>0</v>
      </c>
      <c r="V283" s="194">
        <f>IF(D283=År1,P283,SUM(O283,P283))*IFERROR(VLOOKUP(A283,[1]Tørstofindhold!A$2:B$25,2,FALSE),0)</f>
        <v>0</v>
      </c>
      <c r="W283" s="194">
        <f>J283*IFERROR(VLOOKUP(A283,[1]Tørstofindhold!A$2:B$25,2,FALSE),0)</f>
        <v>0</v>
      </c>
      <c r="X283" s="195">
        <f t="shared" si="96"/>
        <v>0</v>
      </c>
      <c r="Y283" s="173">
        <f t="shared" si="90"/>
        <v>0</v>
      </c>
      <c r="Z283" s="104">
        <f t="shared" si="91"/>
        <v>1</v>
      </c>
    </row>
    <row r="284" spans="1:26" hidden="1" x14ac:dyDescent="0.25">
      <c r="A284" s="196" t="str">
        <f t="shared" si="87"/>
        <v>Spildevandsslam</v>
      </c>
      <c r="B284" s="196" t="str">
        <f t="shared" si="88"/>
        <v>Bionedbrydeligt affald</v>
      </c>
      <c r="C284" s="196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6">
        <f t="shared" si="92"/>
        <v>2050</v>
      </c>
      <c r="E284" s="194" t="s">
        <v>25</v>
      </c>
      <c r="F284" s="197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3492305.9942200431</v>
      </c>
      <c r="G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4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1324453.0115708997</v>
      </c>
      <c r="K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7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9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6">
        <f t="shared" si="93"/>
        <v>2167852.9826491433</v>
      </c>
      <c r="O284" s="197">
        <f t="shared" si="89"/>
        <v>2167852.9826491433</v>
      </c>
      <c r="P284" s="207">
        <f t="shared" si="94"/>
        <v>1324453.0115708997</v>
      </c>
      <c r="Q284" s="194">
        <f>IFERROR(VLOOKUP(A284,[1]Energiindhold!$A$2:$C$11,3,FALSE),IFERROR(VLOOKUP(A284,[1]Biogasudbytte!$A$2:$B$18,2,FALSE)*[1]Energiindhold!$C$10,0))*O284</f>
        <v>1.0817803168717492</v>
      </c>
      <c r="R284" s="194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1.7426956141757439</v>
      </c>
      <c r="S284" s="194">
        <f>IFERROR(VLOOKUP(A284,[1]Biogasudbytte!$A$2:$B$18,2,FALSE)*[1]Energiindhold!$C$10,0)*J284*IFERROR(VLOOKUP(A284,Biogasanlæg!$F$3:$G$8,2,FALSE),1)</f>
        <v>0.66091529730399479</v>
      </c>
      <c r="T284" s="195">
        <f t="shared" si="95"/>
        <v>1.081780316871749</v>
      </c>
      <c r="U284" s="193">
        <f>O284*IFERROR(VLOOKUP(A284,[1]Tørstofindhold!A$2:B$25,2,FALSE),0)</f>
        <v>130071.1789589486</v>
      </c>
      <c r="V284" s="194">
        <f>IF(D284=År1,P284,SUM(O284,P284))*IFERROR(VLOOKUP(A284,[1]Tørstofindhold!A$2:B$25,2,FALSE),0)</f>
        <v>209538.35965320258</v>
      </c>
      <c r="W284" s="194">
        <f>J284*IFERROR(VLOOKUP(A284,[1]Tørstofindhold!A$2:B$25,2,FALSE),0)</f>
        <v>79467.180694253984</v>
      </c>
      <c r="X284" s="195">
        <f t="shared" si="96"/>
        <v>130071.1789589486</v>
      </c>
      <c r="Y284" s="173">
        <f t="shared" si="90"/>
        <v>0</v>
      </c>
      <c r="Z284" s="104">
        <f t="shared" si="91"/>
        <v>1</v>
      </c>
    </row>
    <row r="285" spans="1:26" hidden="1" x14ac:dyDescent="0.25">
      <c r="A285" s="196" t="str">
        <f t="shared" si="87"/>
        <v>Svinegylle</v>
      </c>
      <c r="B285" s="196" t="str">
        <f t="shared" si="88"/>
        <v>Husdyrgødning</v>
      </c>
      <c r="C285" s="196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6">
        <f t="shared" si="92"/>
        <v>2050</v>
      </c>
      <c r="E285" s="194" t="s">
        <v>25</v>
      </c>
      <c r="F285" s="197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17096.051577225953</v>
      </c>
      <c r="G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4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9060.9073359297563</v>
      </c>
      <c r="K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8035.1442412961978</v>
      </c>
      <c r="L285" s="197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9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6">
        <f t="shared" si="93"/>
        <v>0</v>
      </c>
      <c r="O285" s="197">
        <f t="shared" si="89"/>
        <v>0</v>
      </c>
      <c r="P285" s="207">
        <f t="shared" si="94"/>
        <v>9060.9073359297563</v>
      </c>
      <c r="Q285" s="194">
        <f>IFERROR(VLOOKUP(A285,[1]Energiindhold!$A$2:$C$11,3,FALSE),IFERROR(VLOOKUP(A285,[1]Biogasudbytte!$A$2:$B$18,2,FALSE)*[1]Energiindhold!$C$10,0))*O285</f>
        <v>0</v>
      </c>
      <c r="R285" s="194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3.9034388803185398E-3</v>
      </c>
      <c r="S285" s="194">
        <f>IFERROR(VLOOKUP(A285,[1]Biogasudbytte!$A$2:$B$18,2,FALSE)*[1]Energiindhold!$C$10,0)*J285*IFERROR(VLOOKUP(A285,Biogasanlæg!$F$3:$G$8,2,FALSE),1)</f>
        <v>3.9034388803185398E-3</v>
      </c>
      <c r="T285" s="195">
        <f t="shared" si="95"/>
        <v>0</v>
      </c>
      <c r="U285" s="193">
        <f>O285*IFERROR(VLOOKUP(A285,[1]Tørstofindhold!A$2:B$25,2,FALSE),0)</f>
        <v>0</v>
      </c>
      <c r="V285" s="194">
        <f>IF(D285=År1,P285,SUM(O285,P285))*IFERROR(VLOOKUP(A285,[1]Tørstofindhold!A$2:B$25,2,FALSE),0)</f>
        <v>453.04536679648783</v>
      </c>
      <c r="W285" s="194">
        <f>J285*IFERROR(VLOOKUP(A285,[1]Tørstofindhold!A$2:B$25,2,FALSE),0)</f>
        <v>453.04536679648783</v>
      </c>
      <c r="X285" s="195">
        <f t="shared" si="96"/>
        <v>0</v>
      </c>
      <c r="Y285" s="173">
        <f t="shared" si="90"/>
        <v>0</v>
      </c>
      <c r="Z285" s="104">
        <f t="shared" si="91"/>
        <v>0</v>
      </c>
    </row>
    <row r="286" spans="1:26" hidden="1" x14ac:dyDescent="0.25">
      <c r="A286" s="196" t="str">
        <f t="shared" si="87"/>
        <v>Svinekød</v>
      </c>
      <c r="B286" s="196" t="str">
        <f t="shared" si="88"/>
        <v/>
      </c>
      <c r="C286" s="196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6">
        <f t="shared" si="92"/>
        <v>2050</v>
      </c>
      <c r="E286" s="194" t="s">
        <v>25</v>
      </c>
      <c r="F286" s="197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8103.284407279948</v>
      </c>
      <c r="G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4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0</v>
      </c>
      <c r="J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7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9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6">
        <f t="shared" si="93"/>
        <v>8103.284407279948</v>
      </c>
      <c r="O286" s="197">
        <f t="shared" si="89"/>
        <v>0</v>
      </c>
      <c r="P286" s="207">
        <f t="shared" si="94"/>
        <v>0</v>
      </c>
      <c r="Q286" s="194">
        <f>IFERROR(VLOOKUP(A286,[1]Energiindhold!$A$2:$C$11,3,FALSE),IFERROR(VLOOKUP(A286,[1]Biogasudbytte!$A$2:$B$18,2,FALSE)*[1]Energiindhold!$C$10,0))*O286</f>
        <v>0</v>
      </c>
      <c r="R286" s="194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4">
        <f>IFERROR(VLOOKUP(A286,[1]Biogasudbytte!$A$2:$B$18,2,FALSE)*[1]Energiindhold!$C$10,0)*J286*IFERROR(VLOOKUP(A286,Biogasanlæg!$F$3:$G$8,2,FALSE),1)</f>
        <v>0</v>
      </c>
      <c r="T286" s="195">
        <f t="shared" si="95"/>
        <v>0</v>
      </c>
      <c r="U286" s="193">
        <f>O286*IFERROR(VLOOKUP(A286,[1]Tørstofindhold!A$2:B$25,2,FALSE),0)</f>
        <v>0</v>
      </c>
      <c r="V286" s="194">
        <f>IF(D286=År1,P286,SUM(O286,P286))*IFERROR(VLOOKUP(A286,[1]Tørstofindhold!A$2:B$25,2,FALSE),0)</f>
        <v>0</v>
      </c>
      <c r="W286" s="194">
        <f>J286*IFERROR(VLOOKUP(A286,[1]Tørstofindhold!A$2:B$25,2,FALSE),0)</f>
        <v>0</v>
      </c>
      <c r="X286" s="195">
        <f t="shared" si="96"/>
        <v>0</v>
      </c>
      <c r="Y286" s="173">
        <f t="shared" si="90"/>
        <v>0</v>
      </c>
      <c r="Z286" s="104">
        <f t="shared" si="91"/>
        <v>1</v>
      </c>
    </row>
    <row r="287" spans="1:26" hidden="1" x14ac:dyDescent="0.25">
      <c r="A287" s="196" t="str">
        <f t="shared" si="87"/>
        <v>Tang</v>
      </c>
      <c r="B287" s="196" t="str">
        <f t="shared" si="88"/>
        <v>Havbiomasse</v>
      </c>
      <c r="C287" s="196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6">
        <f t="shared" si="92"/>
        <v>2050</v>
      </c>
      <c r="E287" s="194" t="s">
        <v>25</v>
      </c>
      <c r="F287" s="197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119.38794894044119</v>
      </c>
      <c r="H287" s="194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7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9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6">
        <f t="shared" si="93"/>
        <v>4380.6120510595592</v>
      </c>
      <c r="O287" s="197">
        <f t="shared" si="89"/>
        <v>4380.6120510595592</v>
      </c>
      <c r="P287" s="207">
        <f t="shared" si="94"/>
        <v>0</v>
      </c>
      <c r="Q287" s="194">
        <f>IFERROR(VLOOKUP(A287,[1]Energiindhold!$A$2:$C$11,3,FALSE),IFERROR(VLOOKUP(A287,[1]Biogasudbytte!$A$2:$B$18,2,FALSE)*[1]Energiindhold!$C$10,0))*O287</f>
        <v>3.9315993158259548E-3</v>
      </c>
      <c r="R287" s="194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3.9315993158259548E-3</v>
      </c>
      <c r="S287" s="194">
        <f>IFERROR(VLOOKUP(A287,[1]Biogasudbytte!$A$2:$B$18,2,FALSE)*[1]Energiindhold!$C$10,0)*J287*IFERROR(VLOOKUP(A287,Biogasanlæg!$F$3:$G$8,2,FALSE),1)</f>
        <v>0</v>
      </c>
      <c r="T287" s="195">
        <f t="shared" si="95"/>
        <v>3.9315993158259548E-3</v>
      </c>
      <c r="U287" s="193">
        <f>O287*IFERROR(VLOOKUP(A287,[1]Tørstofindhold!A$2:B$25,2,FALSE),0)</f>
        <v>657.09180765893382</v>
      </c>
      <c r="V287" s="194">
        <f>IF(D287=År1,P287,SUM(O287,P287))*IFERROR(VLOOKUP(A287,[1]Tørstofindhold!A$2:B$25,2,FALSE),0)</f>
        <v>657.09180765893382</v>
      </c>
      <c r="W287" s="194">
        <f>J287*IFERROR(VLOOKUP(A287,[1]Tørstofindhold!A$2:B$25,2,FALSE),0)</f>
        <v>0</v>
      </c>
      <c r="X287" s="195">
        <f t="shared" si="96"/>
        <v>657.09180765893382</v>
      </c>
      <c r="Y287" s="173">
        <f t="shared" si="90"/>
        <v>0</v>
      </c>
      <c r="Z287" s="104">
        <f t="shared" si="91"/>
        <v>1</v>
      </c>
    </row>
    <row r="288" spans="1:26" hidden="1" x14ac:dyDescent="0.25">
      <c r="A288" s="196" t="str">
        <f t="shared" si="87"/>
        <v>Total til biogas</v>
      </c>
      <c r="B288" s="196" t="str">
        <f t="shared" si="88"/>
        <v/>
      </c>
      <c r="C288" s="196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6">
        <f t="shared" si="92"/>
        <v>2050</v>
      </c>
      <c r="E288" s="194" t="s">
        <v>25</v>
      </c>
      <c r="F288" s="197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4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7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9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6">
        <f t="shared" si="93"/>
        <v>0</v>
      </c>
      <c r="O288" s="197">
        <f t="shared" si="89"/>
        <v>0</v>
      </c>
      <c r="P288" s="207">
        <f t="shared" si="94"/>
        <v>0</v>
      </c>
      <c r="Q288" s="194">
        <f>IFERROR(VLOOKUP(A288,[1]Energiindhold!$A$2:$C$11,3,FALSE),IFERROR(VLOOKUP(A288,[1]Biogasudbytte!$A$2:$B$18,2,FALSE)*[1]Energiindhold!$C$10,0))*O288</f>
        <v>0</v>
      </c>
      <c r="R288" s="194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4">
        <f>IFERROR(VLOOKUP(A288,[1]Biogasudbytte!$A$2:$B$18,2,FALSE)*[1]Energiindhold!$C$10,0)*J288*IFERROR(VLOOKUP(A288,Biogasanlæg!$F$3:$G$8,2,FALSE),1)</f>
        <v>0</v>
      </c>
      <c r="T288" s="195">
        <f t="shared" si="95"/>
        <v>0</v>
      </c>
      <c r="U288" s="193">
        <f>O288*IFERROR(VLOOKUP(A288,[1]Tørstofindhold!A$2:B$25,2,FALSE),0)</f>
        <v>0</v>
      </c>
      <c r="V288" s="194">
        <f>IF(D288=År1,P288,SUM(O288,P288))*IFERROR(VLOOKUP(A288,[1]Tørstofindhold!A$2:B$25,2,FALSE),0)</f>
        <v>0</v>
      </c>
      <c r="W288" s="194">
        <f>J288*IFERROR(VLOOKUP(A288,[1]Tørstofindhold!A$2:B$25,2,FALSE),0)</f>
        <v>0</v>
      </c>
      <c r="X288" s="195">
        <f t="shared" si="96"/>
        <v>0</v>
      </c>
      <c r="Y288" s="173">
        <f t="shared" si="90"/>
        <v>0</v>
      </c>
      <c r="Z288" s="104">
        <f t="shared" si="91"/>
        <v>0</v>
      </c>
    </row>
    <row r="289" spans="1:26" hidden="1" x14ac:dyDescent="0.25">
      <c r="A289" s="196" t="str">
        <f t="shared" si="87"/>
        <v>Træ til energi</v>
      </c>
      <c r="B289" s="196" t="str">
        <f t="shared" si="88"/>
        <v>Vedmasse</v>
      </c>
      <c r="C289" s="196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6">
        <f t="shared" si="92"/>
        <v>2050</v>
      </c>
      <c r="E289" s="194" t="s">
        <v>25</v>
      </c>
      <c r="F289" s="197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593911.86485397187</v>
      </c>
      <c r="G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4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7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593911.86485397187</v>
      </c>
      <c r="M289" s="159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6">
        <f t="shared" si="93"/>
        <v>0</v>
      </c>
      <c r="O289" s="197">
        <f t="shared" si="89"/>
        <v>0</v>
      </c>
      <c r="P289" s="207">
        <f t="shared" si="94"/>
        <v>593911.86485397187</v>
      </c>
      <c r="Q289" s="194">
        <f>IFERROR(VLOOKUP(A289,[1]Energiindhold!$A$2:$C$11,3,FALSE),IFERROR(VLOOKUP(A289,[1]Biogasudbytte!$A$2:$B$18,2,FALSE)*[1]Energiindhold!$C$10,0))*O289</f>
        <v>0</v>
      </c>
      <c r="R289" s="194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8.6079025342490016</v>
      </c>
      <c r="S289" s="194">
        <f>IFERROR(VLOOKUP(A289,[1]Biogasudbytte!$A$2:$B$18,2,FALSE)*[1]Energiindhold!$C$10,0)*J289*IFERROR(VLOOKUP(A289,Biogasanlæg!$F$3:$G$8,2,FALSE),1)</f>
        <v>0</v>
      </c>
      <c r="T289" s="195">
        <f t="shared" si="95"/>
        <v>8.6079025342490016</v>
      </c>
      <c r="U289" s="193">
        <f>O289*IFERROR(VLOOKUP(A289,[1]Tørstofindhold!A$2:B$25,2,FALSE),0)</f>
        <v>0</v>
      </c>
      <c r="V289" s="194">
        <f>IF(D289=År1,P289,SUM(O289,P289))*IFERROR(VLOOKUP(A289,[1]Tørstofindhold!A$2:B$25,2,FALSE),0)</f>
        <v>293738.90982569358</v>
      </c>
      <c r="W289" s="194">
        <f>J289*IFERROR(VLOOKUP(A289,[1]Tørstofindhold!A$2:B$25,2,FALSE),0)</f>
        <v>0</v>
      </c>
      <c r="X289" s="195">
        <f t="shared" si="96"/>
        <v>293738.90982569358</v>
      </c>
      <c r="Y289" s="173">
        <f t="shared" si="90"/>
        <v>0</v>
      </c>
      <c r="Z289" s="104">
        <f t="shared" si="91"/>
        <v>0</v>
      </c>
    </row>
    <row r="290" spans="1:26" ht="15.75" hidden="1" thickBot="1" x14ac:dyDescent="0.3">
      <c r="A290" s="196" t="str">
        <f t="shared" si="87"/>
        <v>Træmaterialer</v>
      </c>
      <c r="B290" s="196" t="str">
        <f t="shared" si="88"/>
        <v/>
      </c>
      <c r="C290" s="196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6">
        <f t="shared" si="92"/>
        <v>2050</v>
      </c>
      <c r="E290" s="194" t="s">
        <v>25</v>
      </c>
      <c r="F290" s="197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165231.73873877228</v>
      </c>
      <c r="G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4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7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9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8">
        <f t="shared" si="93"/>
        <v>165231.73873877228</v>
      </c>
      <c r="O290" s="209">
        <f t="shared" si="89"/>
        <v>0</v>
      </c>
      <c r="P290" s="210">
        <f t="shared" si="94"/>
        <v>0</v>
      </c>
      <c r="Q290" s="199">
        <f>IFERROR(VLOOKUP(A290,[1]Energiindhold!$A$2:$C$11,3,FALSE),IFERROR(VLOOKUP(A290,[1]Biogasudbytte!$A$2:$B$18,2,FALSE)*[1]Energiindhold!$C$10,0))*O290</f>
        <v>0</v>
      </c>
      <c r="R290" s="199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9">
        <f>IFERROR(VLOOKUP(A290,[1]Biogasudbytte!$A$2:$B$18,2,FALSE)*[1]Energiindhold!$C$10,0)*J290*IFERROR(VLOOKUP(A290,Biogasanlæg!$F$3:$G$8,2,FALSE),1)</f>
        <v>0</v>
      </c>
      <c r="T290" s="200">
        <f t="shared" si="95"/>
        <v>0</v>
      </c>
      <c r="U290" s="198">
        <f>O290*IFERROR(VLOOKUP(A290,[1]Tørstofindhold!A$2:B$25,2,FALSE),0)</f>
        <v>0</v>
      </c>
      <c r="V290" s="199">
        <f>IF(D290=År1,P290,SUM(O290,P290))*IFERROR(VLOOKUP(A290,[1]Tørstofindhold!A$2:B$25,2,FALSE),0)</f>
        <v>0</v>
      </c>
      <c r="W290" s="199">
        <f>J290*IFERROR(VLOOKUP(A290,[1]Tørstofindhold!A$2:B$25,2,FALSE),0)</f>
        <v>0</v>
      </c>
      <c r="X290" s="200">
        <f t="shared" si="96"/>
        <v>0</v>
      </c>
      <c r="Y290" s="173">
        <f t="shared" si="90"/>
        <v>0</v>
      </c>
      <c r="Z290" s="104">
        <f t="shared" si="91"/>
        <v>1</v>
      </c>
    </row>
  </sheetData>
  <autoFilter ref="A2:Z290" xr:uid="{E8FEB0F6-BC35-420D-A381-2F9B028DCC93}">
    <filterColumn colId="3">
      <filters>
        <filter val="2019"/>
      </filters>
    </filterColumn>
    <filterColumn colId="8">
      <filters>
        <filter val="100.556"/>
        <filter val="101.922"/>
        <filter val="117.921"/>
        <filter val="119.523"/>
        <filter val="212.804"/>
        <filter val="222.884"/>
        <filter val="244.165"/>
        <filter val="249.554"/>
        <filter val="26.881"/>
        <filter val="261.375"/>
        <filter val="286.330"/>
        <filter val="29.121"/>
        <filter val="31.523"/>
        <filter val="34.149"/>
        <filter val="389.768"/>
        <filter val="457.077"/>
        <filter val="49.527"/>
        <filter val="58.080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M33"/>
  <sheetViews>
    <sheetView topLeftCell="A2" workbookViewId="0">
      <selection activeCell="B5" sqref="B5:AG23"/>
    </sheetView>
  </sheetViews>
  <sheetFormatPr defaultRowHeight="15" x14ac:dyDescent="0.25"/>
  <cols>
    <col min="1" max="1" width="21.425781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5.140625" bestFit="1" customWidth="1"/>
    <col min="31" max="31" width="12" bestFit="1" customWidth="1"/>
    <col min="32" max="32" width="12.85546875" bestFit="1" customWidth="1"/>
    <col min="33" max="33" width="12.28515625" bestFit="1" customWidth="1"/>
    <col min="34" max="34" width="8.85546875" bestFit="1" customWidth="1"/>
    <col min="35" max="35" width="9.28515625" bestFit="1" customWidth="1"/>
    <col min="36" max="36" width="8.5703125" bestFit="1" customWidth="1"/>
    <col min="37" max="37" width="11" bestFit="1" customWidth="1"/>
    <col min="38" max="38" width="13.28515625" bestFit="1" customWidth="1"/>
    <col min="39" max="39" width="11.2851562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9" x14ac:dyDescent="0.25">
      <c r="A3" s="77" t="s">
        <v>181</v>
      </c>
      <c r="B3" s="77" t="s">
        <v>63</v>
      </c>
    </row>
    <row r="4" spans="1:39" x14ac:dyDescent="0.25">
      <c r="A4" s="77" t="s">
        <v>61</v>
      </c>
      <c r="B4" s="173" t="s">
        <v>15</v>
      </c>
      <c r="C4" s="173" t="s">
        <v>50</v>
      </c>
      <c r="D4" s="173" t="s">
        <v>104</v>
      </c>
      <c r="E4" s="173" t="s">
        <v>103</v>
      </c>
      <c r="F4" s="173" t="s">
        <v>19</v>
      </c>
      <c r="G4" s="173" t="s">
        <v>143</v>
      </c>
      <c r="H4" s="173" t="s">
        <v>98</v>
      </c>
      <c r="I4" s="173" t="s">
        <v>55</v>
      </c>
      <c r="J4" s="173" t="s">
        <v>165</v>
      </c>
      <c r="K4" s="173" t="s">
        <v>52</v>
      </c>
      <c r="L4" s="173" t="s">
        <v>6</v>
      </c>
      <c r="M4" s="173" t="s">
        <v>69</v>
      </c>
      <c r="N4" s="173" t="s">
        <v>169</v>
      </c>
      <c r="O4" s="173" t="s">
        <v>166</v>
      </c>
      <c r="P4" s="173" t="s">
        <v>105</v>
      </c>
      <c r="Q4" s="173" t="s">
        <v>12</v>
      </c>
      <c r="R4" s="173" t="s">
        <v>49</v>
      </c>
      <c r="S4" s="173" t="s">
        <v>142</v>
      </c>
      <c r="T4" s="173" t="s">
        <v>111</v>
      </c>
      <c r="U4" s="173" t="s">
        <v>54</v>
      </c>
      <c r="V4" s="173" t="s">
        <v>119</v>
      </c>
      <c r="W4" s="173" t="s">
        <v>14</v>
      </c>
      <c r="X4" s="173" t="s">
        <v>51</v>
      </c>
      <c r="Y4" s="173" t="s">
        <v>53</v>
      </c>
      <c r="Z4" s="173" t="s">
        <v>110</v>
      </c>
      <c r="AA4" s="173" t="s">
        <v>146</v>
      </c>
      <c r="AB4" s="173" t="s">
        <v>141</v>
      </c>
      <c r="AC4" s="173" t="s">
        <v>13</v>
      </c>
      <c r="AD4" s="173" t="s">
        <v>101</v>
      </c>
      <c r="AE4" s="173" t="s">
        <v>97</v>
      </c>
      <c r="AF4" s="173" t="s">
        <v>122</v>
      </c>
      <c r="AG4" s="173" t="s">
        <v>212</v>
      </c>
      <c r="AH4" s="173" t="s">
        <v>217</v>
      </c>
      <c r="AI4" s="173" t="s">
        <v>250</v>
      </c>
      <c r="AJ4" s="173" t="s">
        <v>243</v>
      </c>
      <c r="AK4" s="173" t="s">
        <v>113</v>
      </c>
      <c r="AL4" s="173" t="s">
        <v>118</v>
      </c>
      <c r="AM4" s="173" t="s">
        <v>62</v>
      </c>
    </row>
    <row r="5" spans="1:39" x14ac:dyDescent="0.25">
      <c r="A5" s="78" t="s">
        <v>112</v>
      </c>
      <c r="B5" s="251"/>
      <c r="C5" s="251"/>
      <c r="D5" s="251">
        <v>729134</v>
      </c>
      <c r="E5" s="251">
        <v>2144765.9020378594</v>
      </c>
      <c r="F5" s="251"/>
      <c r="G5" s="251">
        <v>8148.6765921102415</v>
      </c>
      <c r="H5" s="251"/>
      <c r="I5" s="251"/>
      <c r="J5" s="251">
        <v>142742</v>
      </c>
      <c r="K5" s="251">
        <v>85676.999999999985</v>
      </c>
      <c r="L5" s="251"/>
      <c r="M5" s="251">
        <v>75934</v>
      </c>
      <c r="N5" s="251">
        <v>78</v>
      </c>
      <c r="O5" s="251"/>
      <c r="P5" s="251">
        <v>995654</v>
      </c>
      <c r="Q5" s="251"/>
      <c r="R5" s="251">
        <v>3785.9999999999991</v>
      </c>
      <c r="S5" s="251">
        <v>9336665.9059793055</v>
      </c>
      <c r="T5" s="251"/>
      <c r="U5" s="251">
        <v>330026</v>
      </c>
      <c r="V5" s="251"/>
      <c r="W5" s="251"/>
      <c r="X5" s="251"/>
      <c r="Y5" s="251">
        <v>28645.000000000004</v>
      </c>
      <c r="Z5" s="251"/>
      <c r="AA5" s="251">
        <v>8260338.5139247999</v>
      </c>
      <c r="AB5" s="251">
        <v>5781255.2008339055</v>
      </c>
      <c r="AC5" s="251"/>
      <c r="AD5" s="251">
        <v>0</v>
      </c>
      <c r="AE5" s="251"/>
      <c r="AF5" s="251"/>
      <c r="AG5" s="251"/>
      <c r="AH5" s="251">
        <v>298370.50464249513</v>
      </c>
      <c r="AI5" s="251"/>
      <c r="AJ5" s="251"/>
      <c r="AK5" s="251"/>
      <c r="AL5" s="251"/>
      <c r="AM5" s="251">
        <v>28221220.704010479</v>
      </c>
    </row>
    <row r="6" spans="1:39" x14ac:dyDescent="0.25">
      <c r="A6" s="79">
        <v>2019</v>
      </c>
      <c r="B6" s="251"/>
      <c r="C6" s="251"/>
      <c r="D6" s="251">
        <v>729134</v>
      </c>
      <c r="E6" s="251">
        <v>757087.00000000012</v>
      </c>
      <c r="F6" s="251"/>
      <c r="G6" s="251">
        <v>4441.5</v>
      </c>
      <c r="H6" s="251"/>
      <c r="I6" s="251"/>
      <c r="J6" s="251">
        <v>142742</v>
      </c>
      <c r="K6" s="251">
        <v>85676.999999999985</v>
      </c>
      <c r="L6" s="251"/>
      <c r="M6" s="251">
        <v>75934</v>
      </c>
      <c r="N6" s="251">
        <v>78</v>
      </c>
      <c r="O6" s="251"/>
      <c r="P6" s="251">
        <v>995654</v>
      </c>
      <c r="Q6" s="251"/>
      <c r="R6" s="251">
        <v>3785.9999999999991</v>
      </c>
      <c r="S6" s="251">
        <v>4353509.666666667</v>
      </c>
      <c r="T6" s="251"/>
      <c r="U6" s="251">
        <v>330026</v>
      </c>
      <c r="V6" s="251"/>
      <c r="W6" s="251"/>
      <c r="X6" s="251"/>
      <c r="Y6" s="251">
        <v>28645.000000000004</v>
      </c>
      <c r="Z6" s="251"/>
      <c r="AA6" s="251">
        <v>2668834</v>
      </c>
      <c r="AB6" s="251">
        <v>2914869.3333333335</v>
      </c>
      <c r="AC6" s="251"/>
      <c r="AD6" s="251">
        <v>0</v>
      </c>
      <c r="AE6" s="251"/>
      <c r="AF6" s="251"/>
      <c r="AG6" s="251"/>
      <c r="AH6" s="251">
        <v>0</v>
      </c>
      <c r="AI6" s="251"/>
      <c r="AJ6" s="251"/>
      <c r="AK6" s="251"/>
      <c r="AL6" s="251"/>
      <c r="AM6" s="251">
        <v>13090417.500000002</v>
      </c>
    </row>
    <row r="7" spans="1:39" x14ac:dyDescent="0.25">
      <c r="A7" s="79">
        <v>2030</v>
      </c>
      <c r="B7" s="251"/>
      <c r="C7" s="251"/>
      <c r="D7" s="251">
        <v>0</v>
      </c>
      <c r="E7" s="251">
        <v>1081370.4878161605</v>
      </c>
      <c r="F7" s="251"/>
      <c r="G7" s="251">
        <v>2935.3023376165365</v>
      </c>
      <c r="H7" s="251"/>
      <c r="I7" s="251"/>
      <c r="J7" s="251">
        <v>0</v>
      </c>
      <c r="K7" s="251">
        <v>0</v>
      </c>
      <c r="L7" s="251"/>
      <c r="M7" s="251">
        <v>0</v>
      </c>
      <c r="N7" s="251">
        <v>0</v>
      </c>
      <c r="O7" s="251"/>
      <c r="P7" s="251">
        <v>0</v>
      </c>
      <c r="Q7" s="251"/>
      <c r="R7" s="251">
        <v>0</v>
      </c>
      <c r="S7" s="251">
        <v>4362994.2210802762</v>
      </c>
      <c r="T7" s="251"/>
      <c r="U7" s="251">
        <v>0</v>
      </c>
      <c r="V7" s="251"/>
      <c r="W7" s="251"/>
      <c r="X7" s="251"/>
      <c r="Y7" s="251">
        <v>0</v>
      </c>
      <c r="Z7" s="251"/>
      <c r="AA7" s="251">
        <v>2746408.276800571</v>
      </c>
      <c r="AB7" s="251">
        <v>2794791.573432514</v>
      </c>
      <c r="AC7" s="251"/>
      <c r="AD7" s="251">
        <v>0</v>
      </c>
      <c r="AE7" s="251"/>
      <c r="AF7" s="251"/>
      <c r="AG7" s="251"/>
      <c r="AH7" s="251">
        <v>213121.78903035366</v>
      </c>
      <c r="AI7" s="251"/>
      <c r="AJ7" s="251"/>
      <c r="AK7" s="251"/>
      <c r="AL7" s="251"/>
      <c r="AM7" s="251">
        <v>11201621.650497492</v>
      </c>
    </row>
    <row r="8" spans="1:39" x14ac:dyDescent="0.25">
      <c r="A8" s="79">
        <v>2050</v>
      </c>
      <c r="B8" s="251"/>
      <c r="C8" s="251"/>
      <c r="D8" s="251">
        <v>0</v>
      </c>
      <c r="E8" s="251">
        <v>306308.41422169888</v>
      </c>
      <c r="F8" s="251"/>
      <c r="G8" s="251">
        <v>771.87425449370517</v>
      </c>
      <c r="H8" s="251"/>
      <c r="I8" s="251"/>
      <c r="J8" s="251">
        <v>0</v>
      </c>
      <c r="K8" s="251">
        <v>0</v>
      </c>
      <c r="L8" s="251"/>
      <c r="M8" s="251">
        <v>0</v>
      </c>
      <c r="N8" s="251">
        <v>0</v>
      </c>
      <c r="O8" s="251"/>
      <c r="P8" s="251">
        <v>0</v>
      </c>
      <c r="Q8" s="251"/>
      <c r="R8" s="251">
        <v>0</v>
      </c>
      <c r="S8" s="251">
        <v>620162.01823236153</v>
      </c>
      <c r="T8" s="251"/>
      <c r="U8" s="251">
        <v>0</v>
      </c>
      <c r="V8" s="251"/>
      <c r="W8" s="251"/>
      <c r="X8" s="251"/>
      <c r="Y8" s="251">
        <v>0</v>
      </c>
      <c r="Z8" s="251"/>
      <c r="AA8" s="251">
        <v>2845096.2371242284</v>
      </c>
      <c r="AB8" s="251">
        <v>71594.294068057861</v>
      </c>
      <c r="AC8" s="251"/>
      <c r="AD8" s="251">
        <v>0</v>
      </c>
      <c r="AE8" s="251"/>
      <c r="AF8" s="251"/>
      <c r="AG8" s="251"/>
      <c r="AH8" s="251">
        <v>85248.715612141474</v>
      </c>
      <c r="AI8" s="251"/>
      <c r="AJ8" s="251"/>
      <c r="AK8" s="251"/>
      <c r="AL8" s="251"/>
      <c r="AM8" s="251">
        <v>3929181.5535129821</v>
      </c>
    </row>
    <row r="9" spans="1:39" x14ac:dyDescent="0.25">
      <c r="A9" s="78" t="s">
        <v>115</v>
      </c>
      <c r="B9" s="251"/>
      <c r="C9" s="251">
        <v>115864.14756629133</v>
      </c>
      <c r="D9" s="251"/>
      <c r="E9" s="251"/>
      <c r="F9" s="251"/>
      <c r="G9" s="251"/>
      <c r="H9" s="251"/>
      <c r="I9" s="251"/>
      <c r="J9" s="251"/>
      <c r="K9" s="251">
        <v>21983612.776432022</v>
      </c>
      <c r="L9" s="251"/>
      <c r="M9" s="251">
        <v>1388760.5465237419</v>
      </c>
      <c r="N9" s="251"/>
      <c r="O9" s="251">
        <v>5421074.2654714445</v>
      </c>
      <c r="P9" s="251"/>
      <c r="Q9" s="251">
        <v>0</v>
      </c>
      <c r="R9" s="251">
        <v>10561338.895521805</v>
      </c>
      <c r="S9" s="251"/>
      <c r="T9" s="251">
        <v>2722807.4678078461</v>
      </c>
      <c r="U9" s="251">
        <v>10162251.276126802</v>
      </c>
      <c r="V9" s="251"/>
      <c r="W9" s="251"/>
      <c r="X9" s="251"/>
      <c r="Y9" s="251">
        <v>1511061.5911770496</v>
      </c>
      <c r="Z9" s="251">
        <v>70805.867957178038</v>
      </c>
      <c r="AA9" s="251"/>
      <c r="AB9" s="251"/>
      <c r="AC9" s="251"/>
      <c r="AD9" s="251">
        <v>6552.4121749058822</v>
      </c>
      <c r="AE9" s="251"/>
      <c r="AF9" s="251"/>
      <c r="AG9" s="251">
        <v>874925.72750016011</v>
      </c>
      <c r="AH9" s="251"/>
      <c r="AI9" s="251">
        <v>384604.60094921698</v>
      </c>
      <c r="AJ9" s="251"/>
      <c r="AK9" s="251"/>
      <c r="AL9" s="251"/>
      <c r="AM9" s="251">
        <v>55203659.575208455</v>
      </c>
    </row>
    <row r="10" spans="1:39" x14ac:dyDescent="0.25">
      <c r="A10" s="79">
        <v>2019</v>
      </c>
      <c r="B10" s="251"/>
      <c r="C10" s="251">
        <v>72415.092228932088</v>
      </c>
      <c r="D10" s="251"/>
      <c r="E10" s="251"/>
      <c r="F10" s="251"/>
      <c r="G10" s="251"/>
      <c r="H10" s="251"/>
      <c r="I10" s="251"/>
      <c r="J10" s="251"/>
      <c r="K10" s="251">
        <v>13739757.985270014</v>
      </c>
      <c r="L10" s="251"/>
      <c r="M10" s="251">
        <v>867975.34157733875</v>
      </c>
      <c r="N10" s="251"/>
      <c r="O10" s="251">
        <v>5421074.2654714445</v>
      </c>
      <c r="P10" s="251"/>
      <c r="Q10" s="251">
        <v>0</v>
      </c>
      <c r="R10" s="251">
        <v>6600836.8097011279</v>
      </c>
      <c r="S10" s="251"/>
      <c r="T10" s="251">
        <v>1701754.6673799041</v>
      </c>
      <c r="U10" s="251">
        <v>6351407.0475792512</v>
      </c>
      <c r="V10" s="251"/>
      <c r="W10" s="251"/>
      <c r="X10" s="251"/>
      <c r="Y10" s="251">
        <v>944413.49448565592</v>
      </c>
      <c r="Z10" s="251">
        <v>44253.667473236274</v>
      </c>
      <c r="AA10" s="251"/>
      <c r="AB10" s="251"/>
      <c r="AC10" s="251"/>
      <c r="AD10" s="251">
        <v>0</v>
      </c>
      <c r="AE10" s="251"/>
      <c r="AF10" s="251"/>
      <c r="AG10" s="251">
        <v>0</v>
      </c>
      <c r="AH10" s="251"/>
      <c r="AI10" s="251">
        <v>240377.87559326066</v>
      </c>
      <c r="AJ10" s="251"/>
      <c r="AK10" s="251"/>
      <c r="AL10" s="251"/>
      <c r="AM10" s="251">
        <v>35984266.24676016</v>
      </c>
    </row>
    <row r="11" spans="1:39" x14ac:dyDescent="0.25">
      <c r="A11" s="79">
        <v>2030</v>
      </c>
      <c r="B11" s="251"/>
      <c r="C11" s="251">
        <v>36207.546114466037</v>
      </c>
      <c r="D11" s="251"/>
      <c r="E11" s="251"/>
      <c r="F11" s="251"/>
      <c r="G11" s="251"/>
      <c r="H11" s="251"/>
      <c r="I11" s="251"/>
      <c r="J11" s="251"/>
      <c r="K11" s="251">
        <v>6869878.9926350061</v>
      </c>
      <c r="L11" s="251"/>
      <c r="M11" s="251">
        <v>433987.67078866932</v>
      </c>
      <c r="N11" s="251"/>
      <c r="O11" s="251">
        <v>0</v>
      </c>
      <c r="P11" s="251"/>
      <c r="Q11" s="251">
        <v>0</v>
      </c>
      <c r="R11" s="251">
        <v>3300418.4048505635</v>
      </c>
      <c r="S11" s="251"/>
      <c r="T11" s="251">
        <v>850877.3336899518</v>
      </c>
      <c r="U11" s="251">
        <v>3175703.5237896251</v>
      </c>
      <c r="V11" s="251"/>
      <c r="W11" s="251"/>
      <c r="X11" s="251"/>
      <c r="Y11" s="251">
        <v>472206.74724282796</v>
      </c>
      <c r="Z11" s="251">
        <v>22126.833736618137</v>
      </c>
      <c r="AA11" s="251"/>
      <c r="AB11" s="251"/>
      <c r="AC11" s="251"/>
      <c r="AD11" s="251">
        <v>5460.3434790882347</v>
      </c>
      <c r="AE11" s="251"/>
      <c r="AF11" s="251"/>
      <c r="AG11" s="251">
        <v>729104.77291680011</v>
      </c>
      <c r="AH11" s="251"/>
      <c r="AI11" s="251">
        <v>120188.93779663031</v>
      </c>
      <c r="AJ11" s="251"/>
      <c r="AK11" s="251"/>
      <c r="AL11" s="251"/>
      <c r="AM11" s="251">
        <v>16016161.107040247</v>
      </c>
    </row>
    <row r="12" spans="1:39" x14ac:dyDescent="0.25">
      <c r="A12" s="79">
        <v>2050</v>
      </c>
      <c r="B12" s="251"/>
      <c r="C12" s="251">
        <v>7241.509222893209</v>
      </c>
      <c r="D12" s="251"/>
      <c r="E12" s="251"/>
      <c r="F12" s="251"/>
      <c r="G12" s="251"/>
      <c r="H12" s="251"/>
      <c r="I12" s="251"/>
      <c r="J12" s="251"/>
      <c r="K12" s="251">
        <v>1373975.7985270016</v>
      </c>
      <c r="L12" s="251"/>
      <c r="M12" s="251">
        <v>86797.534157733899</v>
      </c>
      <c r="N12" s="251"/>
      <c r="O12" s="251">
        <v>0</v>
      </c>
      <c r="P12" s="251"/>
      <c r="Q12" s="251">
        <v>0</v>
      </c>
      <c r="R12" s="251">
        <v>660083.68097011291</v>
      </c>
      <c r="S12" s="251"/>
      <c r="T12" s="251">
        <v>170175.46673799041</v>
      </c>
      <c r="U12" s="251">
        <v>635140.70475792524</v>
      </c>
      <c r="V12" s="251"/>
      <c r="W12" s="251"/>
      <c r="X12" s="251"/>
      <c r="Y12" s="251">
        <v>94441.349448565612</v>
      </c>
      <c r="Z12" s="251">
        <v>4425.3667473236283</v>
      </c>
      <c r="AA12" s="251"/>
      <c r="AB12" s="251"/>
      <c r="AC12" s="251"/>
      <c r="AD12" s="251">
        <v>1092.0686958176473</v>
      </c>
      <c r="AE12" s="251"/>
      <c r="AF12" s="251"/>
      <c r="AG12" s="251">
        <v>145820.95458336003</v>
      </c>
      <c r="AH12" s="251"/>
      <c r="AI12" s="251">
        <v>24037.787559326069</v>
      </c>
      <c r="AJ12" s="251"/>
      <c r="AK12" s="251"/>
      <c r="AL12" s="251"/>
      <c r="AM12" s="251">
        <v>3203232.2214080496</v>
      </c>
    </row>
    <row r="13" spans="1:39" x14ac:dyDescent="0.25">
      <c r="A13" s="78" t="s">
        <v>130</v>
      </c>
      <c r="B13" s="251">
        <v>182574.19618217932</v>
      </c>
      <c r="C13" s="251">
        <v>625176.88830240653</v>
      </c>
      <c r="D13" s="251"/>
      <c r="E13" s="251"/>
      <c r="F13" s="251">
        <v>281468.55244752642</v>
      </c>
      <c r="G13" s="251"/>
      <c r="H13" s="251">
        <v>96197.468181553209</v>
      </c>
      <c r="I13" s="251">
        <v>1445379.0531089196</v>
      </c>
      <c r="J13" s="251"/>
      <c r="K13" s="251"/>
      <c r="L13" s="251">
        <v>1513844.376677237</v>
      </c>
      <c r="M13" s="251"/>
      <c r="N13" s="251"/>
      <c r="O13" s="251"/>
      <c r="P13" s="251"/>
      <c r="Q13" s="251">
        <v>692260.49385742994</v>
      </c>
      <c r="R13" s="251">
        <v>1658382.281988129</v>
      </c>
      <c r="S13" s="251"/>
      <c r="T13" s="251"/>
      <c r="U13" s="251"/>
      <c r="V13" s="251">
        <v>2647325.8446415998</v>
      </c>
      <c r="W13" s="251">
        <v>163609.69396108782</v>
      </c>
      <c r="X13" s="251"/>
      <c r="Y13" s="251"/>
      <c r="Z13" s="251"/>
      <c r="AA13" s="251"/>
      <c r="AB13" s="251"/>
      <c r="AC13" s="251">
        <v>332177.25743614789</v>
      </c>
      <c r="AD13" s="251">
        <v>0</v>
      </c>
      <c r="AE13" s="251"/>
      <c r="AF13" s="251"/>
      <c r="AG13" s="251"/>
      <c r="AH13" s="251"/>
      <c r="AI13" s="251"/>
      <c r="AJ13" s="251"/>
      <c r="AK13" s="251"/>
      <c r="AL13" s="251"/>
      <c r="AM13" s="251">
        <v>9638396.1067842171</v>
      </c>
    </row>
    <row r="14" spans="1:39" x14ac:dyDescent="0.25">
      <c r="A14" s="79">
        <v>2019</v>
      </c>
      <c r="B14" s="251">
        <v>58403.100598004137</v>
      </c>
      <c r="C14" s="251">
        <v>0</v>
      </c>
      <c r="D14" s="251"/>
      <c r="E14" s="251"/>
      <c r="F14" s="251">
        <v>90038.113421923044</v>
      </c>
      <c r="G14" s="251"/>
      <c r="H14" s="251">
        <v>63270.025647837821</v>
      </c>
      <c r="I14" s="251">
        <v>462357.87973419944</v>
      </c>
      <c r="J14" s="251"/>
      <c r="K14" s="251"/>
      <c r="L14" s="251">
        <v>484259.042458451</v>
      </c>
      <c r="M14" s="251"/>
      <c r="N14" s="251"/>
      <c r="O14" s="251"/>
      <c r="P14" s="251"/>
      <c r="Q14" s="251">
        <v>221445.08976743236</v>
      </c>
      <c r="R14" s="251">
        <v>530494.83043187088</v>
      </c>
      <c r="S14" s="251"/>
      <c r="T14" s="251"/>
      <c r="U14" s="251"/>
      <c r="V14" s="251">
        <v>846844.95867106004</v>
      </c>
      <c r="W14" s="251">
        <v>107607.71285182264</v>
      </c>
      <c r="X14" s="251"/>
      <c r="Y14" s="251"/>
      <c r="Z14" s="251"/>
      <c r="AA14" s="251"/>
      <c r="AB14" s="251"/>
      <c r="AC14" s="251">
        <v>218476.26548703379</v>
      </c>
      <c r="AD14" s="251">
        <v>0</v>
      </c>
      <c r="AE14" s="251"/>
      <c r="AF14" s="251"/>
      <c r="AG14" s="251"/>
      <c r="AH14" s="251"/>
      <c r="AI14" s="251"/>
      <c r="AJ14" s="251"/>
      <c r="AK14" s="251"/>
      <c r="AL14" s="251"/>
      <c r="AM14" s="251">
        <v>3083197.0190696353</v>
      </c>
    </row>
    <row r="15" spans="1:39" x14ac:dyDescent="0.25">
      <c r="A15" s="79">
        <v>2030</v>
      </c>
      <c r="B15" s="251">
        <v>60789.12467762841</v>
      </c>
      <c r="C15" s="251">
        <v>202630.41559209471</v>
      </c>
      <c r="D15" s="251"/>
      <c r="E15" s="251"/>
      <c r="F15" s="251">
        <v>93716.56721134379</v>
      </c>
      <c r="G15" s="251"/>
      <c r="H15" s="251">
        <v>32927.442533715388</v>
      </c>
      <c r="I15" s="251">
        <v>481247.23703122488</v>
      </c>
      <c r="J15" s="251"/>
      <c r="K15" s="251"/>
      <c r="L15" s="251">
        <v>504043.1587853356</v>
      </c>
      <c r="M15" s="251"/>
      <c r="N15" s="251"/>
      <c r="O15" s="251"/>
      <c r="P15" s="251"/>
      <c r="Q15" s="251">
        <v>230492.09773600774</v>
      </c>
      <c r="R15" s="251">
        <v>552167.88248845807</v>
      </c>
      <c r="S15" s="251"/>
      <c r="T15" s="251"/>
      <c r="U15" s="251"/>
      <c r="V15" s="251">
        <v>881442.3078256119</v>
      </c>
      <c r="W15" s="251">
        <v>56001.981109265173</v>
      </c>
      <c r="X15" s="251"/>
      <c r="Y15" s="251"/>
      <c r="Z15" s="251"/>
      <c r="AA15" s="251"/>
      <c r="AB15" s="251"/>
      <c r="AC15" s="251">
        <v>113700.99194911413</v>
      </c>
      <c r="AD15" s="251">
        <v>0</v>
      </c>
      <c r="AE15" s="251"/>
      <c r="AF15" s="251"/>
      <c r="AG15" s="251"/>
      <c r="AH15" s="251"/>
      <c r="AI15" s="251"/>
      <c r="AJ15" s="251"/>
      <c r="AK15" s="251"/>
      <c r="AL15" s="251"/>
      <c r="AM15" s="251">
        <v>3209159.2069397997</v>
      </c>
    </row>
    <row r="16" spans="1:39" x14ac:dyDescent="0.25">
      <c r="A16" s="79">
        <v>2050</v>
      </c>
      <c r="B16" s="251">
        <v>63381.970906546776</v>
      </c>
      <c r="C16" s="251">
        <v>422546.47271031182</v>
      </c>
      <c r="D16" s="251"/>
      <c r="E16" s="251"/>
      <c r="F16" s="251">
        <v>97713.871814259604</v>
      </c>
      <c r="G16" s="251"/>
      <c r="H16" s="251">
        <v>0</v>
      </c>
      <c r="I16" s="251">
        <v>501773.93634349527</v>
      </c>
      <c r="J16" s="251"/>
      <c r="K16" s="251"/>
      <c r="L16" s="251">
        <v>525542.17543345026</v>
      </c>
      <c r="M16" s="251"/>
      <c r="N16" s="251"/>
      <c r="O16" s="251"/>
      <c r="P16" s="251"/>
      <c r="Q16" s="251">
        <v>240323.30635398987</v>
      </c>
      <c r="R16" s="251">
        <v>575719.56906779984</v>
      </c>
      <c r="S16" s="251"/>
      <c r="T16" s="251"/>
      <c r="U16" s="251"/>
      <c r="V16" s="251">
        <v>919038.57814492821</v>
      </c>
      <c r="W16" s="251">
        <v>0</v>
      </c>
      <c r="X16" s="251"/>
      <c r="Y16" s="251"/>
      <c r="Z16" s="251"/>
      <c r="AA16" s="251"/>
      <c r="AB16" s="251"/>
      <c r="AC16" s="251">
        <v>0</v>
      </c>
      <c r="AD16" s="251">
        <v>0</v>
      </c>
      <c r="AE16" s="251"/>
      <c r="AF16" s="251"/>
      <c r="AG16" s="251"/>
      <c r="AH16" s="251"/>
      <c r="AI16" s="251"/>
      <c r="AJ16" s="251"/>
      <c r="AK16" s="251"/>
      <c r="AL16" s="251"/>
      <c r="AM16" s="251">
        <v>3346039.880774782</v>
      </c>
    </row>
    <row r="17" spans="1:39" x14ac:dyDescent="0.25">
      <c r="A17" s="78" t="s">
        <v>123</v>
      </c>
      <c r="B17" s="251"/>
      <c r="C17" s="251"/>
      <c r="D17" s="251">
        <v>985697.77494848624</v>
      </c>
      <c r="E17" s="251"/>
      <c r="F17" s="251"/>
      <c r="G17" s="251"/>
      <c r="H17" s="251"/>
      <c r="I17" s="251"/>
      <c r="J17" s="251"/>
      <c r="K17" s="251"/>
      <c r="L17" s="251"/>
      <c r="M17" s="251">
        <v>3492893.7606235594</v>
      </c>
      <c r="N17" s="251">
        <v>2948349</v>
      </c>
      <c r="O17" s="251"/>
      <c r="P17" s="251"/>
      <c r="Q17" s="251"/>
      <c r="R17" s="251"/>
      <c r="S17" s="251"/>
      <c r="T17" s="251"/>
      <c r="U17" s="251"/>
      <c r="V17" s="251"/>
      <c r="W17" s="251"/>
      <c r="X17" s="251"/>
      <c r="Y17" s="251"/>
      <c r="Z17" s="251"/>
      <c r="AA17" s="251"/>
      <c r="AB17" s="251"/>
      <c r="AC17" s="251"/>
      <c r="AD17" s="251"/>
      <c r="AE17" s="251">
        <v>356571.09047144972</v>
      </c>
      <c r="AF17" s="251">
        <v>8535696.9302458353</v>
      </c>
      <c r="AG17" s="251"/>
      <c r="AH17" s="251"/>
      <c r="AI17" s="251"/>
      <c r="AJ17" s="251">
        <v>412622.46294799726</v>
      </c>
      <c r="AK17" s="251"/>
      <c r="AL17" s="251"/>
      <c r="AM17" s="251">
        <v>16731831.019237328</v>
      </c>
    </row>
    <row r="18" spans="1:39" x14ac:dyDescent="0.25">
      <c r="A18" s="79">
        <v>2019</v>
      </c>
      <c r="B18" s="251"/>
      <c r="C18" s="251"/>
      <c r="D18" s="251">
        <v>0</v>
      </c>
      <c r="E18" s="251"/>
      <c r="F18" s="251"/>
      <c r="G18" s="251"/>
      <c r="H18" s="251"/>
      <c r="I18" s="251"/>
      <c r="J18" s="251"/>
      <c r="K18" s="251"/>
      <c r="L18" s="251"/>
      <c r="M18" s="251">
        <v>1893765.2125355615</v>
      </c>
      <c r="N18" s="251">
        <v>982731</v>
      </c>
      <c r="O18" s="251"/>
      <c r="P18" s="251"/>
      <c r="Q18" s="251"/>
      <c r="R18" s="251"/>
      <c r="S18" s="251"/>
      <c r="T18" s="251"/>
      <c r="U18" s="251"/>
      <c r="V18" s="251"/>
      <c r="W18" s="251"/>
      <c r="X18" s="251"/>
      <c r="Y18" s="251"/>
      <c r="Z18" s="251"/>
      <c r="AA18" s="251"/>
      <c r="AB18" s="251"/>
      <c r="AC18" s="251"/>
      <c r="AD18" s="251"/>
      <c r="AE18" s="251">
        <v>209782.38739500003</v>
      </c>
      <c r="AF18" s="251">
        <v>3010238.4923246857</v>
      </c>
      <c r="AG18" s="251"/>
      <c r="AH18" s="251"/>
      <c r="AI18" s="251"/>
      <c r="AJ18" s="251">
        <v>217090.50152909773</v>
      </c>
      <c r="AK18" s="251"/>
      <c r="AL18" s="251"/>
      <c r="AM18" s="251">
        <v>6313607.5937843453</v>
      </c>
    </row>
    <row r="19" spans="1:39" x14ac:dyDescent="0.25">
      <c r="A19" s="79">
        <v>2030</v>
      </c>
      <c r="B19" s="251"/>
      <c r="C19" s="251"/>
      <c r="D19" s="251">
        <v>434688.81587052497</v>
      </c>
      <c r="E19" s="251"/>
      <c r="F19" s="251"/>
      <c r="G19" s="251"/>
      <c r="H19" s="251"/>
      <c r="I19" s="251"/>
      <c r="J19" s="251"/>
      <c r="K19" s="251"/>
      <c r="L19" s="251"/>
      <c r="M19" s="251">
        <v>1062469.4398652355</v>
      </c>
      <c r="N19" s="251">
        <v>982809</v>
      </c>
      <c r="O19" s="251"/>
      <c r="P19" s="251"/>
      <c r="Q19" s="251"/>
      <c r="R19" s="251"/>
      <c r="S19" s="251"/>
      <c r="T19" s="251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>
        <v>111666.54461229002</v>
      </c>
      <c r="AF19" s="251">
        <v>2848752.9835421797</v>
      </c>
      <c r="AG19" s="251"/>
      <c r="AH19" s="251"/>
      <c r="AI19" s="251"/>
      <c r="AJ19" s="251">
        <v>145949.30938586406</v>
      </c>
      <c r="AK19" s="251"/>
      <c r="AL19" s="251"/>
      <c r="AM19" s="251">
        <v>5586336.0932760946</v>
      </c>
    </row>
    <row r="20" spans="1:39" x14ac:dyDescent="0.25">
      <c r="A20" s="79">
        <v>2050</v>
      </c>
      <c r="B20" s="251"/>
      <c r="C20" s="251"/>
      <c r="D20" s="251">
        <v>551008.95907796128</v>
      </c>
      <c r="E20" s="251"/>
      <c r="F20" s="251"/>
      <c r="G20" s="251"/>
      <c r="H20" s="251"/>
      <c r="I20" s="251"/>
      <c r="J20" s="251"/>
      <c r="K20" s="251"/>
      <c r="L20" s="251"/>
      <c r="M20" s="251">
        <v>536659.10822276224</v>
      </c>
      <c r="N20" s="251">
        <v>982809</v>
      </c>
      <c r="O20" s="251"/>
      <c r="P20" s="251"/>
      <c r="Q20" s="251"/>
      <c r="R20" s="251"/>
      <c r="S20" s="251"/>
      <c r="T20" s="251"/>
      <c r="U20" s="251"/>
      <c r="V20" s="251"/>
      <c r="W20" s="251"/>
      <c r="X20" s="251"/>
      <c r="Y20" s="251"/>
      <c r="Z20" s="251"/>
      <c r="AA20" s="251"/>
      <c r="AB20" s="251"/>
      <c r="AC20" s="251"/>
      <c r="AD20" s="251"/>
      <c r="AE20" s="251">
        <v>35122.158464159649</v>
      </c>
      <c r="AF20" s="251">
        <v>2676705.4543789709</v>
      </c>
      <c r="AG20" s="251"/>
      <c r="AH20" s="251"/>
      <c r="AI20" s="251"/>
      <c r="AJ20" s="251">
        <v>49582.652033035469</v>
      </c>
      <c r="AK20" s="251"/>
      <c r="AL20" s="251"/>
      <c r="AM20" s="251">
        <v>4831887.3321768893</v>
      </c>
    </row>
    <row r="21" spans="1:39" x14ac:dyDescent="0.25">
      <c r="A21" s="78" t="s">
        <v>117</v>
      </c>
      <c r="B21" s="251"/>
      <c r="C21" s="251"/>
      <c r="D21" s="251"/>
      <c r="E21" s="251">
        <v>1349100.577200047</v>
      </c>
      <c r="F21" s="251"/>
      <c r="G21" s="251">
        <v>6169.7122768834688</v>
      </c>
      <c r="H21" s="251"/>
      <c r="I21" s="251"/>
      <c r="J21" s="251"/>
      <c r="K21" s="251"/>
      <c r="L21" s="251"/>
      <c r="M21" s="251"/>
      <c r="N21" s="251"/>
      <c r="O21" s="251"/>
      <c r="P21" s="251"/>
      <c r="Q21" s="251"/>
      <c r="R21" s="251"/>
      <c r="S21" s="251">
        <v>7466453.5853737388</v>
      </c>
      <c r="T21" s="251"/>
      <c r="U21" s="251"/>
      <c r="V21" s="251"/>
      <c r="W21" s="251"/>
      <c r="X21" s="251"/>
      <c r="Y21" s="251"/>
      <c r="Z21" s="251"/>
      <c r="AA21" s="251"/>
      <c r="AB21" s="251">
        <v>17284020.020865288</v>
      </c>
      <c r="AC21" s="251"/>
      <c r="AD21" s="251"/>
      <c r="AE21" s="251"/>
      <c r="AF21" s="251"/>
      <c r="AG21" s="251"/>
      <c r="AH21" s="251"/>
      <c r="AI21" s="251"/>
      <c r="AJ21" s="251"/>
      <c r="AK21" s="251">
        <v>16953582.634890594</v>
      </c>
      <c r="AL21" s="251">
        <v>2966990.4790247818</v>
      </c>
      <c r="AM21" s="251">
        <v>46026317.009631336</v>
      </c>
    </row>
    <row r="22" spans="1:39" x14ac:dyDescent="0.25">
      <c r="A22" s="79">
        <v>2019</v>
      </c>
      <c r="B22" s="251"/>
      <c r="C22" s="251"/>
      <c r="D22" s="251"/>
      <c r="E22" s="251">
        <v>823764.99285714305</v>
      </c>
      <c r="F22" s="251"/>
      <c r="G22" s="251">
        <v>3362.8500000000004</v>
      </c>
      <c r="H22" s="251"/>
      <c r="I22" s="251"/>
      <c r="J22" s="251"/>
      <c r="K22" s="251"/>
      <c r="L22" s="251"/>
      <c r="M22" s="251"/>
      <c r="N22" s="251"/>
      <c r="O22" s="251"/>
      <c r="P22" s="251"/>
      <c r="Q22" s="251"/>
      <c r="R22" s="251"/>
      <c r="S22" s="251">
        <v>6423924.8458333323</v>
      </c>
      <c r="T22" s="251"/>
      <c r="U22" s="251"/>
      <c r="V22" s="251"/>
      <c r="W22" s="251"/>
      <c r="X22" s="251"/>
      <c r="Y22" s="251"/>
      <c r="Z22" s="251"/>
      <c r="AA22" s="251"/>
      <c r="AB22" s="251">
        <v>14742130.666666664</v>
      </c>
      <c r="AC22" s="251"/>
      <c r="AD22" s="251"/>
      <c r="AE22" s="251"/>
      <c r="AF22" s="251"/>
      <c r="AG22" s="251"/>
      <c r="AH22" s="251"/>
      <c r="AI22" s="251"/>
      <c r="AJ22" s="251"/>
      <c r="AK22" s="251">
        <v>8803491.7355084848</v>
      </c>
      <c r="AL22" s="251">
        <v>1108490.5539925825</v>
      </c>
      <c r="AM22" s="251">
        <v>31905165.644858211</v>
      </c>
    </row>
    <row r="23" spans="1:39" x14ac:dyDescent="0.25">
      <c r="A23" s="79">
        <v>2030</v>
      </c>
      <c r="B23" s="251"/>
      <c r="C23" s="251"/>
      <c r="D23" s="251"/>
      <c r="E23" s="251">
        <v>409375.97038754652</v>
      </c>
      <c r="F23" s="251"/>
      <c r="G23" s="251">
        <v>2222.4431984810917</v>
      </c>
      <c r="H23" s="251"/>
      <c r="I23" s="251"/>
      <c r="J23" s="251"/>
      <c r="K23" s="251"/>
      <c r="L23" s="251"/>
      <c r="M23" s="251"/>
      <c r="N23" s="251"/>
      <c r="O23" s="251"/>
      <c r="P23" s="251"/>
      <c r="Q23" s="251"/>
      <c r="R23" s="251"/>
      <c r="S23" s="251">
        <v>912784.3173049523</v>
      </c>
      <c r="T23" s="251"/>
      <c r="U23" s="251"/>
      <c r="V23" s="251"/>
      <c r="W23" s="251"/>
      <c r="X23" s="251"/>
      <c r="Y23" s="251"/>
      <c r="Z23" s="251"/>
      <c r="AA23" s="251"/>
      <c r="AB23" s="251">
        <v>2478400.0745533616</v>
      </c>
      <c r="AC23" s="251"/>
      <c r="AD23" s="251"/>
      <c r="AE23" s="251"/>
      <c r="AF23" s="251"/>
      <c r="AG23" s="251"/>
      <c r="AH23" s="251"/>
      <c r="AI23" s="251"/>
      <c r="AJ23" s="251"/>
      <c r="AK23" s="251">
        <v>7442983.9796083178</v>
      </c>
      <c r="AL23" s="251">
        <v>1214646.5101108053</v>
      </c>
      <c r="AM23" s="251">
        <v>12460413.295163464</v>
      </c>
    </row>
    <row r="24" spans="1:39" x14ac:dyDescent="0.25">
      <c r="A24" s="79">
        <v>2050</v>
      </c>
      <c r="B24" s="251"/>
      <c r="C24" s="251"/>
      <c r="D24" s="251"/>
      <c r="E24" s="251">
        <v>115959.61395535742</v>
      </c>
      <c r="F24" s="251"/>
      <c r="G24" s="251">
        <v>584.41907840237684</v>
      </c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>
        <v>129744.42223545458</v>
      </c>
      <c r="T24" s="251"/>
      <c r="U24" s="251"/>
      <c r="V24" s="251"/>
      <c r="W24" s="251"/>
      <c r="X24" s="251"/>
      <c r="Y24" s="251"/>
      <c r="Z24" s="251"/>
      <c r="AA24" s="251"/>
      <c r="AB24" s="251">
        <v>63489.279645258837</v>
      </c>
      <c r="AC24" s="251"/>
      <c r="AD24" s="251"/>
      <c r="AE24" s="251"/>
      <c r="AF24" s="251"/>
      <c r="AG24" s="251"/>
      <c r="AH24" s="251"/>
      <c r="AI24" s="251"/>
      <c r="AJ24" s="251"/>
      <c r="AK24" s="251">
        <v>707106.91977378912</v>
      </c>
      <c r="AL24" s="251">
        <v>643853.41492139385</v>
      </c>
      <c r="AM24" s="251">
        <v>1660738.0696096562</v>
      </c>
    </row>
    <row r="25" spans="1:39" x14ac:dyDescent="0.25">
      <c r="A25" s="78" t="s">
        <v>219</v>
      </c>
      <c r="B25" s="251"/>
      <c r="C25" s="251"/>
      <c r="D25" s="251"/>
      <c r="E25" s="251"/>
      <c r="F25" s="251"/>
      <c r="G25" s="251"/>
      <c r="H25" s="251"/>
      <c r="I25" s="251"/>
      <c r="J25" s="251"/>
      <c r="K25" s="251">
        <v>5233704.87012944</v>
      </c>
      <c r="L25" s="251"/>
      <c r="M25" s="251"/>
      <c r="N25" s="251"/>
      <c r="O25" s="251"/>
      <c r="P25" s="251"/>
      <c r="Q25" s="251"/>
      <c r="R25" s="251"/>
      <c r="S25" s="251"/>
      <c r="T25" s="251"/>
      <c r="U25" s="251"/>
      <c r="V25" s="251"/>
      <c r="W25" s="251"/>
      <c r="X25" s="251"/>
      <c r="Y25" s="251"/>
      <c r="Z25" s="251"/>
      <c r="AA25" s="251"/>
      <c r="AB25" s="251"/>
      <c r="AC25" s="251"/>
      <c r="AD25" s="251"/>
      <c r="AE25" s="251"/>
      <c r="AF25" s="251"/>
      <c r="AG25" s="251"/>
      <c r="AH25" s="251"/>
      <c r="AI25" s="251"/>
      <c r="AJ25" s="251"/>
      <c r="AK25" s="251"/>
      <c r="AL25" s="251"/>
      <c r="AM25" s="251">
        <v>5233704.87012944</v>
      </c>
    </row>
    <row r="26" spans="1:39" x14ac:dyDescent="0.25">
      <c r="A26" s="79">
        <v>2019</v>
      </c>
      <c r="B26" s="251"/>
      <c r="C26" s="251"/>
      <c r="D26" s="251"/>
      <c r="E26" s="251"/>
      <c r="F26" s="251"/>
      <c r="G26" s="251"/>
      <c r="H26" s="251"/>
      <c r="I26" s="251"/>
      <c r="J26" s="251"/>
      <c r="K26" s="251">
        <v>0</v>
      </c>
      <c r="L26" s="251"/>
      <c r="M26" s="251"/>
      <c r="N26" s="251"/>
      <c r="O26" s="251"/>
      <c r="P26" s="251"/>
      <c r="Q26" s="251"/>
      <c r="R26" s="251"/>
      <c r="S26" s="251"/>
      <c r="T26" s="251"/>
      <c r="U26" s="251"/>
      <c r="V26" s="251"/>
      <c r="W26" s="251"/>
      <c r="X26" s="251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251"/>
      <c r="AK26" s="251"/>
      <c r="AL26" s="251"/>
      <c r="AM26" s="251">
        <v>0</v>
      </c>
    </row>
    <row r="27" spans="1:39" x14ac:dyDescent="0.25">
      <c r="A27" s="79">
        <v>2030</v>
      </c>
      <c r="B27" s="251"/>
      <c r="C27" s="251"/>
      <c r="D27" s="251"/>
      <c r="E27" s="251"/>
      <c r="F27" s="251"/>
      <c r="G27" s="251"/>
      <c r="H27" s="251"/>
      <c r="I27" s="251"/>
      <c r="J27" s="251"/>
      <c r="K27" s="251">
        <v>4361420.7251078663</v>
      </c>
      <c r="L27" s="251"/>
      <c r="M27" s="251"/>
      <c r="N27" s="251"/>
      <c r="O27" s="251"/>
      <c r="P27" s="251"/>
      <c r="Q27" s="251"/>
      <c r="R27" s="251"/>
      <c r="S27" s="251"/>
      <c r="T27" s="251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1"/>
      <c r="AI27" s="251"/>
      <c r="AJ27" s="251"/>
      <c r="AK27" s="251"/>
      <c r="AL27" s="251"/>
      <c r="AM27" s="251">
        <v>4361420.7251078663</v>
      </c>
    </row>
    <row r="28" spans="1:39" x14ac:dyDescent="0.25">
      <c r="A28" s="79">
        <v>2050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>
        <v>872284.14502157341</v>
      </c>
      <c r="L28" s="251"/>
      <c r="M28" s="251"/>
      <c r="N28" s="251"/>
      <c r="O28" s="251"/>
      <c r="P28" s="251"/>
      <c r="Q28" s="251"/>
      <c r="R28" s="251"/>
      <c r="S28" s="251"/>
      <c r="T28" s="251"/>
      <c r="U28" s="251"/>
      <c r="V28" s="251"/>
      <c r="W28" s="251"/>
      <c r="X28" s="251"/>
      <c r="Y28" s="251"/>
      <c r="Z28" s="251"/>
      <c r="AA28" s="251"/>
      <c r="AB28" s="251"/>
      <c r="AC28" s="251"/>
      <c r="AD28" s="251"/>
      <c r="AE28" s="251"/>
      <c r="AF28" s="251"/>
      <c r="AG28" s="251"/>
      <c r="AH28" s="251"/>
      <c r="AI28" s="251"/>
      <c r="AJ28" s="251"/>
      <c r="AK28" s="251"/>
      <c r="AL28" s="251"/>
      <c r="AM28" s="251">
        <v>872284.14502157341</v>
      </c>
    </row>
    <row r="29" spans="1:39" x14ac:dyDescent="0.25">
      <c r="A29" s="78" t="s">
        <v>249</v>
      </c>
      <c r="B29" s="251"/>
      <c r="C29" s="251"/>
      <c r="D29" s="251"/>
      <c r="E29" s="251"/>
      <c r="F29" s="251"/>
      <c r="G29" s="251"/>
      <c r="H29" s="251"/>
      <c r="I29" s="251"/>
      <c r="J29" s="251"/>
      <c r="K29" s="251"/>
      <c r="L29" s="251"/>
      <c r="M29" s="251"/>
      <c r="N29" s="251"/>
      <c r="O29" s="251"/>
      <c r="P29" s="251"/>
      <c r="Q29" s="251"/>
      <c r="R29" s="251"/>
      <c r="S29" s="251"/>
      <c r="T29" s="251"/>
      <c r="U29" s="251"/>
      <c r="V29" s="251"/>
      <c r="W29" s="251"/>
      <c r="X29" s="251">
        <v>1289445.1967124913</v>
      </c>
      <c r="Y29" s="251"/>
      <c r="Z29" s="251"/>
      <c r="AA29" s="251"/>
      <c r="AB29" s="251"/>
      <c r="AC29" s="251"/>
      <c r="AD29" s="251"/>
      <c r="AE29" s="251"/>
      <c r="AF29" s="251"/>
      <c r="AG29" s="251"/>
      <c r="AH29" s="251"/>
      <c r="AI29" s="251"/>
      <c r="AJ29" s="251"/>
      <c r="AK29" s="251"/>
      <c r="AL29" s="251"/>
      <c r="AM29" s="251">
        <v>1289445.1967124913</v>
      </c>
    </row>
    <row r="30" spans="1:39" x14ac:dyDescent="0.25">
      <c r="A30" s="79">
        <v>2019</v>
      </c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1"/>
      <c r="U30" s="251"/>
      <c r="V30" s="251"/>
      <c r="W30" s="251"/>
      <c r="X30" s="251">
        <v>678407.81727843033</v>
      </c>
      <c r="Y30" s="251"/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/>
      <c r="AK30" s="251"/>
      <c r="AL30" s="251"/>
      <c r="AM30" s="251">
        <v>678407.81727843033</v>
      </c>
    </row>
    <row r="31" spans="1:39" x14ac:dyDescent="0.25">
      <c r="A31" s="79">
        <v>2030</v>
      </c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>
        <v>456091.5918308252</v>
      </c>
      <c r="Y31" s="251"/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/>
      <c r="AK31" s="251"/>
      <c r="AL31" s="251"/>
      <c r="AM31" s="251">
        <v>456091.5918308252</v>
      </c>
    </row>
    <row r="32" spans="1:39" x14ac:dyDescent="0.25">
      <c r="A32" s="79">
        <v>2050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  <c r="V32" s="251"/>
      <c r="W32" s="251"/>
      <c r="X32" s="251">
        <v>154945.78760323583</v>
      </c>
      <c r="Y32" s="251"/>
      <c r="Z32" s="251"/>
      <c r="AA32" s="251"/>
      <c r="AB32" s="251"/>
      <c r="AC32" s="251"/>
      <c r="AD32" s="251"/>
      <c r="AE32" s="251"/>
      <c r="AF32" s="251"/>
      <c r="AG32" s="251"/>
      <c r="AH32" s="251"/>
      <c r="AI32" s="251"/>
      <c r="AJ32" s="251"/>
      <c r="AK32" s="251"/>
      <c r="AL32" s="251"/>
      <c r="AM32" s="251">
        <v>154945.78760323583</v>
      </c>
    </row>
    <row r="33" spans="1:39" x14ac:dyDescent="0.25">
      <c r="A33" s="78" t="s">
        <v>62</v>
      </c>
      <c r="B33" s="251">
        <v>182574.19618217932</v>
      </c>
      <c r="C33" s="251">
        <v>741041.0358686978</v>
      </c>
      <c r="D33" s="251">
        <v>1714831.7749484861</v>
      </c>
      <c r="E33" s="251">
        <v>3493866.4792379062</v>
      </c>
      <c r="F33" s="251">
        <v>281468.55244752642</v>
      </c>
      <c r="G33" s="251">
        <v>14318.388868993712</v>
      </c>
      <c r="H33" s="251">
        <v>96197.468181553209</v>
      </c>
      <c r="I33" s="251">
        <v>1445379.0531089196</v>
      </c>
      <c r="J33" s="251">
        <v>142742</v>
      </c>
      <c r="K33" s="251">
        <v>27302994.646561462</v>
      </c>
      <c r="L33" s="251">
        <v>1513844.376677237</v>
      </c>
      <c r="M33" s="251">
        <v>4957588.3071473008</v>
      </c>
      <c r="N33" s="251">
        <v>2948427</v>
      </c>
      <c r="O33" s="251">
        <v>5421074.2654714445</v>
      </c>
      <c r="P33" s="251">
        <v>995654</v>
      </c>
      <c r="Q33" s="251">
        <v>692260.49385742994</v>
      </c>
      <c r="R33" s="251">
        <v>12223507.177509934</v>
      </c>
      <c r="S33" s="251">
        <v>16803119.491353042</v>
      </c>
      <c r="T33" s="251">
        <v>2722807.4678078461</v>
      </c>
      <c r="U33" s="251">
        <v>10492277.276126802</v>
      </c>
      <c r="V33" s="251">
        <v>2647325.8446415998</v>
      </c>
      <c r="W33" s="251">
        <v>163609.69396108782</v>
      </c>
      <c r="X33" s="251">
        <v>1289445.1967124913</v>
      </c>
      <c r="Y33" s="251">
        <v>1539706.5911770496</v>
      </c>
      <c r="Z33" s="251">
        <v>70805.867957178038</v>
      </c>
      <c r="AA33" s="251">
        <v>8260338.5139247999</v>
      </c>
      <c r="AB33" s="251">
        <v>23065275.221699193</v>
      </c>
      <c r="AC33" s="251">
        <v>332177.25743614789</v>
      </c>
      <c r="AD33" s="251">
        <v>6552.4121749058822</v>
      </c>
      <c r="AE33" s="251">
        <v>356571.09047144972</v>
      </c>
      <c r="AF33" s="251">
        <v>8535696.9302458353</v>
      </c>
      <c r="AG33" s="251">
        <v>874925.72750016011</v>
      </c>
      <c r="AH33" s="251">
        <v>298370.50464249513</v>
      </c>
      <c r="AI33" s="251">
        <v>384604.60094921698</v>
      </c>
      <c r="AJ33" s="251">
        <v>412622.46294799726</v>
      </c>
      <c r="AK33" s="251">
        <v>16953582.634890594</v>
      </c>
      <c r="AL33" s="251">
        <v>2966990.4790247818</v>
      </c>
      <c r="AM33" s="251">
        <v>162344574.48171377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M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7109375" bestFit="1" customWidth="1"/>
    <col min="2" max="2" width="16.5703125" bestFit="1" customWidth="1"/>
    <col min="3" max="3" width="9" bestFit="1" customWidth="1"/>
    <col min="4" max="4" width="10.85546875" bestFit="1" customWidth="1"/>
    <col min="5" max="5" width="13.140625" bestFit="1" customWidth="1"/>
    <col min="6" max="6" width="13.28515625" bestFit="1" customWidth="1"/>
    <col min="7" max="7" width="13.85546875" bestFit="1" customWidth="1"/>
    <col min="8" max="8" width="16" bestFit="1" customWidth="1"/>
    <col min="9" max="9" width="8.85546875" bestFit="1" customWidth="1"/>
    <col min="10" max="10" width="8.42578125" bestFit="1" customWidth="1"/>
    <col min="11" max="11" width="7.42578125" bestFit="1" customWidth="1"/>
    <col min="12" max="12" width="14.5703125" bestFit="1" customWidth="1"/>
    <col min="13" max="16" width="11.570312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3" x14ac:dyDescent="0.25">
      <c r="A2" s="77" t="s">
        <v>304</v>
      </c>
      <c r="B2" s="78">
        <v>1</v>
      </c>
    </row>
    <row r="4" spans="1:13" x14ac:dyDescent="0.25">
      <c r="A4" s="77" t="s">
        <v>335</v>
      </c>
      <c r="B4" s="77" t="s">
        <v>63</v>
      </c>
    </row>
    <row r="5" spans="1:13" x14ac:dyDescent="0.25">
      <c r="A5" s="77" t="s">
        <v>61</v>
      </c>
      <c r="B5" s="173" t="s">
        <v>15</v>
      </c>
      <c r="C5" s="173" t="s">
        <v>104</v>
      </c>
      <c r="D5" s="173" t="s">
        <v>6</v>
      </c>
      <c r="E5" s="173" t="s">
        <v>105</v>
      </c>
      <c r="F5" s="173" t="s">
        <v>118</v>
      </c>
      <c r="G5" s="173" t="s">
        <v>111</v>
      </c>
      <c r="H5" s="173" t="s">
        <v>119</v>
      </c>
      <c r="I5" s="173" t="s">
        <v>14</v>
      </c>
      <c r="J5" s="173" t="s">
        <v>165</v>
      </c>
      <c r="K5" s="173" t="s">
        <v>55</v>
      </c>
      <c r="L5" s="173" t="s">
        <v>166</v>
      </c>
      <c r="M5" s="173" t="s">
        <v>62</v>
      </c>
    </row>
    <row r="6" spans="1:13" x14ac:dyDescent="0.25">
      <c r="A6" s="78">
        <v>2019</v>
      </c>
      <c r="B6" s="76">
        <v>0</v>
      </c>
      <c r="C6" s="76">
        <v>370459.67448149773</v>
      </c>
      <c r="D6" s="76">
        <v>203649.62100550608</v>
      </c>
      <c r="E6" s="76">
        <v>282332.03034110228</v>
      </c>
      <c r="F6" s="76">
        <v>1108490.5539925825</v>
      </c>
      <c r="G6" s="76">
        <v>0</v>
      </c>
      <c r="H6" s="76">
        <v>0</v>
      </c>
      <c r="I6" s="76">
        <v>0</v>
      </c>
      <c r="J6" s="76">
        <v>142742</v>
      </c>
      <c r="K6" s="76">
        <v>420629.98984142789</v>
      </c>
      <c r="L6" s="76">
        <v>5421074.2654714445</v>
      </c>
      <c r="M6" s="76">
        <v>7949378.1351335607</v>
      </c>
    </row>
    <row r="7" spans="1:13" x14ac:dyDescent="0.25">
      <c r="A7" s="78">
        <v>2030</v>
      </c>
      <c r="B7" s="76">
        <v>0</v>
      </c>
      <c r="C7" s="76">
        <v>0</v>
      </c>
      <c r="D7" s="76">
        <v>0</v>
      </c>
      <c r="E7" s="76">
        <v>0</v>
      </c>
      <c r="F7" s="76">
        <v>1214646.5101108053</v>
      </c>
      <c r="G7" s="76">
        <v>129917.86610814053</v>
      </c>
      <c r="H7" s="76">
        <v>0</v>
      </c>
      <c r="I7" s="76">
        <v>15662.42568915393</v>
      </c>
      <c r="J7" s="76">
        <v>0</v>
      </c>
      <c r="K7" s="76">
        <v>112692.89105496966</v>
      </c>
      <c r="L7" s="76">
        <v>0</v>
      </c>
      <c r="M7" s="76">
        <v>1472919.6929630693</v>
      </c>
    </row>
    <row r="8" spans="1:13" x14ac:dyDescent="0.25">
      <c r="A8" s="78">
        <v>2050</v>
      </c>
      <c r="B8" s="76">
        <v>52524.078059325388</v>
      </c>
      <c r="C8" s="76">
        <v>0</v>
      </c>
      <c r="D8" s="76">
        <v>0</v>
      </c>
      <c r="E8" s="76">
        <v>0</v>
      </c>
      <c r="F8" s="76">
        <v>643853.41492139385</v>
      </c>
      <c r="G8" s="76">
        <v>66296.650495139547</v>
      </c>
      <c r="H8" s="76">
        <v>718606.37479478493</v>
      </c>
      <c r="I8" s="76">
        <v>0</v>
      </c>
      <c r="J8" s="76">
        <v>0</v>
      </c>
      <c r="K8" s="76">
        <v>316410.32755021384</v>
      </c>
      <c r="L8" s="76">
        <v>0</v>
      </c>
      <c r="M8" s="76">
        <v>1797690.8458208577</v>
      </c>
    </row>
    <row r="9" spans="1:13" x14ac:dyDescent="0.25">
      <c r="A9" s="78" t="s">
        <v>62</v>
      </c>
      <c r="B9" s="76">
        <v>52524.078059325388</v>
      </c>
      <c r="C9" s="76">
        <v>370459.67448149773</v>
      </c>
      <c r="D9" s="76">
        <v>203649.62100550608</v>
      </c>
      <c r="E9" s="76">
        <v>282332.03034110228</v>
      </c>
      <c r="F9" s="76">
        <v>2966990.4790247818</v>
      </c>
      <c r="G9" s="76">
        <v>196214.51660328006</v>
      </c>
      <c r="H9" s="76">
        <v>718606.37479478493</v>
      </c>
      <c r="I9" s="76">
        <v>15662.42568915393</v>
      </c>
      <c r="J9" s="76">
        <v>142742</v>
      </c>
      <c r="K9" s="76">
        <v>849733.20844661142</v>
      </c>
      <c r="L9" s="76">
        <v>5421074.2654714445</v>
      </c>
      <c r="M9" s="76">
        <v>11219988.673917487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.42578125" style="173" bestFit="1" customWidth="1"/>
    <col min="2" max="2" width="16.5703125" style="173" bestFit="1" customWidth="1"/>
    <col min="3" max="3" width="9.42578125" style="173" bestFit="1" customWidth="1"/>
    <col min="4" max="4" width="11" style="173" bestFit="1" customWidth="1"/>
    <col min="5" max="5" width="11.5703125" style="173" bestFit="1" customWidth="1"/>
    <col min="6" max="6" width="11.140625" style="173" bestFit="1" customWidth="1"/>
    <col min="7" max="8" width="9.42578125" style="173" bestFit="1" customWidth="1"/>
    <col min="9" max="9" width="10.85546875" style="173" bestFit="1" customWidth="1"/>
    <col min="10" max="10" width="5.7109375" style="173" bestFit="1" customWidth="1"/>
    <col min="11" max="11" width="13.140625" style="173" bestFit="1" customWidth="1"/>
    <col min="12" max="13" width="9.42578125" style="173" bestFit="1" customWidth="1"/>
    <col min="14" max="14" width="13.85546875" style="173" bestFit="1" customWidth="1"/>
    <col min="15" max="15" width="9.42578125" style="173" bestFit="1" customWidth="1"/>
    <col min="16" max="16" width="16" style="173" bestFit="1" customWidth="1"/>
    <col min="17" max="17" width="10" style="173" bestFit="1" customWidth="1"/>
    <col min="18" max="18" width="8.85546875" style="173" bestFit="1" customWidth="1"/>
    <col min="19" max="20" width="9.42578125" style="173" bestFit="1" customWidth="1"/>
    <col min="21" max="21" width="21" style="173" bestFit="1" customWidth="1"/>
    <col min="22" max="22" width="20.7109375" style="173" bestFit="1" customWidth="1"/>
    <col min="23" max="23" width="9.42578125" style="173" bestFit="1" customWidth="1"/>
    <col min="24" max="24" width="6.85546875" style="173" bestFit="1" customWidth="1"/>
    <col min="25" max="25" width="13.85546875" style="173" bestFit="1" customWidth="1"/>
    <col min="26" max="26" width="10.140625" style="173" bestFit="1" customWidth="1"/>
    <col min="27" max="27" width="12.140625" style="173" bestFit="1" customWidth="1"/>
    <col min="28" max="28" width="16" style="173" bestFit="1" customWidth="1"/>
    <col min="29" max="29" width="9.42578125" style="173" bestFit="1" customWidth="1"/>
    <col min="30" max="30" width="12.5703125" style="173" bestFit="1" customWidth="1"/>
    <col min="31" max="31" width="9.5703125" style="173" bestFit="1" customWidth="1"/>
    <col min="32" max="33" width="9.42578125" style="173" bestFit="1" customWidth="1"/>
    <col min="34" max="34" width="11.5703125" style="173" bestFit="1" customWidth="1"/>
    <col min="35" max="35" width="15.42578125" style="173" bestFit="1" customWidth="1"/>
    <col min="36" max="36" width="16" style="173" bestFit="1" customWidth="1"/>
    <col min="37" max="37" width="8.85546875" style="173" bestFit="1" customWidth="1"/>
    <col min="38" max="38" width="12.5703125" style="173" bestFit="1" customWidth="1"/>
    <col min="39" max="39" width="10.42578125" style="173" bestFit="1" customWidth="1"/>
    <col min="40" max="40" width="12.28515625" style="173" bestFit="1" customWidth="1"/>
    <col min="41" max="41" width="14.5703125" style="173" bestFit="1" customWidth="1"/>
    <col min="42" max="43" width="9.85546875" style="173" bestFit="1" customWidth="1"/>
    <col min="44" max="44" width="14" style="173" bestFit="1" customWidth="1"/>
    <col min="45" max="45" width="6.7109375" style="173" bestFit="1" customWidth="1"/>
    <col min="46" max="46" width="9.28515625" style="173" bestFit="1" customWidth="1"/>
    <col min="47" max="47" width="8.5703125" style="173" bestFit="1" customWidth="1"/>
    <col min="48" max="48" width="12" style="173" bestFit="1" customWidth="1"/>
    <col min="49" max="49" width="12.28515625" style="173" bestFit="1" customWidth="1"/>
    <col min="50" max="50" width="13.28515625" style="173" bestFit="1" customWidth="1"/>
    <col min="51" max="51" width="13.42578125" style="173" bestFit="1" customWidth="1"/>
    <col min="52" max="52" width="20.85546875" style="173" bestFit="1" customWidth="1"/>
    <col min="53" max="54" width="12.28515625" style="173" bestFit="1" customWidth="1"/>
    <col min="55" max="55" width="13.28515625" style="173" bestFit="1" customWidth="1"/>
    <col min="56" max="59" width="12.28515625" style="173" bestFit="1" customWidth="1"/>
    <col min="60" max="60" width="13.28515625" style="173" bestFit="1" customWidth="1"/>
    <col min="61" max="61" width="13.42578125" style="173" bestFit="1" customWidth="1"/>
    <col min="62" max="62" width="20.85546875" style="173" bestFit="1" customWidth="1"/>
    <col min="63" max="64" width="12.28515625" style="173" bestFit="1" customWidth="1"/>
    <col min="65" max="65" width="13.28515625" style="173" bestFit="1" customWidth="1"/>
    <col min="66" max="66" width="13.42578125" style="173" bestFit="1" customWidth="1"/>
    <col min="67" max="67" width="20.85546875" style="173" bestFit="1" customWidth="1"/>
    <col min="68" max="69" width="11.28515625" style="173" bestFit="1" customWidth="1"/>
    <col min="70" max="70" width="13.28515625" style="173" bestFit="1" customWidth="1"/>
    <col min="71" max="71" width="13.42578125" style="173" bestFit="1" customWidth="1"/>
    <col min="72" max="72" width="12.28515625" style="173" bestFit="1" customWidth="1"/>
    <col min="73" max="73" width="16.85546875" style="173" bestFit="1" customWidth="1"/>
    <col min="74" max="74" width="12.28515625" style="173" bestFit="1" customWidth="1"/>
    <col min="75" max="75" width="13.28515625" style="173" bestFit="1" customWidth="1"/>
    <col min="76" max="76" width="13.42578125" style="173" bestFit="1" customWidth="1"/>
    <col min="77" max="77" width="12.28515625" style="173" bestFit="1" customWidth="1"/>
    <col min="78" max="78" width="16.85546875" style="173" bestFit="1" customWidth="1"/>
    <col min="79" max="79" width="12.28515625" style="173" bestFit="1" customWidth="1"/>
    <col min="80" max="80" width="13.28515625" style="173" bestFit="1" customWidth="1"/>
    <col min="81" max="81" width="13.42578125" style="173" bestFit="1" customWidth="1"/>
    <col min="82" max="82" width="12.28515625" style="173" bestFit="1" customWidth="1"/>
    <col min="83" max="83" width="15.85546875" style="173" bestFit="1" customWidth="1"/>
    <col min="84" max="84" width="12.28515625" style="173" bestFit="1" customWidth="1"/>
    <col min="85" max="85" width="13.28515625" style="173" bestFit="1" customWidth="1"/>
    <col min="86" max="89" width="11.7109375" style="173" bestFit="1" customWidth="1"/>
    <col min="90" max="90" width="14.28515625" style="173" bestFit="1" customWidth="1"/>
    <col min="91" max="91" width="13.42578125" style="173" bestFit="1" customWidth="1"/>
    <col min="92" max="92" width="20.85546875" style="173" bestFit="1" customWidth="1"/>
    <col min="93" max="94" width="11.7109375" style="173" bestFit="1" customWidth="1"/>
    <col min="95" max="95" width="14.28515625" style="173" bestFit="1" customWidth="1"/>
    <col min="96" max="96" width="13.42578125" style="173" bestFit="1" customWidth="1"/>
    <col min="97" max="97" width="20.85546875" style="173" bestFit="1" customWidth="1"/>
    <col min="98" max="99" width="12.28515625" style="173" bestFit="1" customWidth="1"/>
    <col min="100" max="100" width="14.28515625" style="173" bestFit="1" customWidth="1"/>
    <col min="101" max="101" width="12.28515625" style="173" bestFit="1" customWidth="1"/>
    <col min="102" max="103" width="13.28515625" style="173" bestFit="1" customWidth="1"/>
    <col min="104" max="104" width="13.42578125" style="173" bestFit="1" customWidth="1"/>
    <col min="105" max="105" width="20.85546875" style="173" bestFit="1" customWidth="1"/>
    <col min="106" max="107" width="12.28515625" style="173" bestFit="1" customWidth="1"/>
    <col min="108" max="109" width="13.28515625" style="173" bestFit="1" customWidth="1"/>
    <col min="110" max="113" width="11.7109375" style="173" bestFit="1" customWidth="1"/>
    <col min="114" max="115" width="13.28515625" style="173" bestFit="1" customWidth="1"/>
    <col min="116" max="116" width="13.42578125" style="173" bestFit="1" customWidth="1"/>
    <col min="117" max="117" width="20.85546875" style="173" bestFit="1" customWidth="1"/>
    <col min="118" max="120" width="11.7109375" style="173" bestFit="1" customWidth="1"/>
    <col min="121" max="121" width="13.28515625" style="173" bestFit="1" customWidth="1"/>
    <col min="122" max="122" width="13.42578125" style="173" bestFit="1" customWidth="1"/>
    <col min="123" max="123" width="12.28515625" style="173" bestFit="1" customWidth="1"/>
    <col min="124" max="124" width="15.85546875" style="173" bestFit="1" customWidth="1"/>
    <col min="125" max="125" width="12.28515625" style="173" bestFit="1" customWidth="1"/>
    <col min="126" max="127" width="13.28515625" style="173" bestFit="1" customWidth="1"/>
    <col min="128" max="128" width="13.42578125" style="173" bestFit="1" customWidth="1"/>
    <col min="129" max="129" width="20.85546875" style="173" bestFit="1" customWidth="1"/>
    <col min="130" max="131" width="11.28515625" style="173" bestFit="1" customWidth="1"/>
    <col min="132" max="133" width="13.28515625" style="173" bestFit="1" customWidth="1"/>
    <col min="134" max="134" width="13.42578125" style="173" bestFit="1" customWidth="1"/>
    <col min="135" max="135" width="20.85546875" style="173" bestFit="1" customWidth="1"/>
    <col min="136" max="137" width="12.28515625" style="173" bestFit="1" customWidth="1"/>
    <col min="138" max="139" width="13.28515625" style="173" bestFit="1" customWidth="1"/>
    <col min="140" max="143" width="12.28515625" style="173" bestFit="1" customWidth="1"/>
    <col min="144" max="145" width="13.28515625" style="173" bestFit="1" customWidth="1"/>
    <col min="146" max="146" width="13.42578125" style="173" bestFit="1" customWidth="1"/>
    <col min="147" max="147" width="12.28515625" style="173" bestFit="1" customWidth="1"/>
    <col min="148" max="148" width="16.85546875" style="173" bestFit="1" customWidth="1"/>
    <col min="149" max="149" width="12.28515625" style="173" bestFit="1" customWidth="1"/>
    <col min="150" max="151" width="13.28515625" style="173" bestFit="1" customWidth="1"/>
    <col min="152" max="152" width="13.42578125" style="173" bestFit="1" customWidth="1"/>
    <col min="153" max="153" width="12.28515625" style="173" bestFit="1" customWidth="1"/>
    <col min="154" max="154" width="16.85546875" style="173" bestFit="1" customWidth="1"/>
    <col min="155" max="155" width="12.28515625" style="173" bestFit="1" customWidth="1"/>
    <col min="156" max="157" width="13.28515625" style="173" bestFit="1" customWidth="1"/>
    <col min="158" max="158" width="13.42578125" style="173" bestFit="1" customWidth="1"/>
    <col min="159" max="159" width="20.85546875" style="173" bestFit="1" customWidth="1"/>
    <col min="160" max="161" width="12.28515625" style="173" bestFit="1" customWidth="1"/>
    <col min="162" max="163" width="14.28515625" style="173" bestFit="1" customWidth="1"/>
    <col min="164" max="164" width="13.42578125" style="173" bestFit="1" customWidth="1"/>
    <col min="165" max="165" width="20.85546875" style="173" bestFit="1" customWidth="1"/>
    <col min="166" max="167" width="11.7109375" style="173" bestFit="1" customWidth="1"/>
    <col min="168" max="169" width="14.28515625" style="173" bestFit="1" customWidth="1"/>
    <col min="170" max="173" width="11.7109375" style="173" bestFit="1" customWidth="1"/>
    <col min="174" max="175" width="14.28515625" style="173" bestFit="1" customWidth="1"/>
    <col min="176" max="176" width="12.28515625" style="173" bestFit="1" customWidth="1"/>
    <col min="177" max="16384" width="9.140625" style="173"/>
  </cols>
  <sheetData>
    <row r="2" spans="1:48" x14ac:dyDescent="0.25">
      <c r="A2" s="77" t="s">
        <v>329</v>
      </c>
      <c r="B2" s="78">
        <v>1</v>
      </c>
    </row>
    <row r="4" spans="1:48" x14ac:dyDescent="0.25">
      <c r="A4" s="77" t="s">
        <v>270</v>
      </c>
      <c r="B4" s="77" t="s">
        <v>63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7" t="s">
        <v>61</v>
      </c>
      <c r="B5" s="173" t="s">
        <v>15</v>
      </c>
      <c r="C5" s="173" t="s">
        <v>50</v>
      </c>
      <c r="D5" s="173" t="s">
        <v>113</v>
      </c>
      <c r="E5" s="173" t="s">
        <v>103</v>
      </c>
      <c r="F5" s="173" t="s">
        <v>98</v>
      </c>
      <c r="G5" s="173" t="s">
        <v>116</v>
      </c>
      <c r="H5" s="173" t="s">
        <v>52</v>
      </c>
      <c r="I5" s="173" t="s">
        <v>6</v>
      </c>
      <c r="J5" s="173" t="s">
        <v>69</v>
      </c>
      <c r="K5" s="173" t="s">
        <v>105</v>
      </c>
      <c r="L5" s="173" t="s">
        <v>12</v>
      </c>
      <c r="M5" s="173" t="s">
        <v>49</v>
      </c>
      <c r="N5" s="173" t="s">
        <v>111</v>
      </c>
      <c r="O5" s="173" t="s">
        <v>54</v>
      </c>
      <c r="P5" s="173" t="s">
        <v>119</v>
      </c>
      <c r="Q5" s="173" t="s">
        <v>109</v>
      </c>
      <c r="R5" s="173" t="s">
        <v>14</v>
      </c>
      <c r="S5" s="173" t="s">
        <v>120</v>
      </c>
      <c r="T5" s="173" t="s">
        <v>53</v>
      </c>
      <c r="U5" s="173" t="s">
        <v>124</v>
      </c>
      <c r="V5" s="173" t="s">
        <v>110</v>
      </c>
      <c r="W5" s="173" t="s">
        <v>13</v>
      </c>
      <c r="X5" s="173" t="s">
        <v>101</v>
      </c>
      <c r="Y5" s="173" t="s">
        <v>121</v>
      </c>
      <c r="Z5" s="173" t="s">
        <v>142</v>
      </c>
      <c r="AA5" s="173" t="s">
        <v>143</v>
      </c>
      <c r="AB5" s="173" t="s">
        <v>146</v>
      </c>
      <c r="AC5" s="173" t="s">
        <v>217</v>
      </c>
      <c r="AD5" s="173" t="s">
        <v>213</v>
      </c>
      <c r="AE5" s="173" t="s">
        <v>57</v>
      </c>
      <c r="AF5" s="173" t="s">
        <v>56</v>
      </c>
      <c r="AG5" s="173" t="s">
        <v>250</v>
      </c>
      <c r="AH5" s="173" t="s">
        <v>62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/>
      <c r="K6" s="99"/>
      <c r="L6" s="99">
        <v>2040873.7508661344</v>
      </c>
      <c r="M6" s="99">
        <v>1974670.329311419</v>
      </c>
      <c r="N6" s="99">
        <v>51892.132620096323</v>
      </c>
      <c r="O6" s="99">
        <v>1266262.2462674922</v>
      </c>
      <c r="P6" s="99">
        <v>2536783.2413289398</v>
      </c>
      <c r="Q6" s="99">
        <v>880.1</v>
      </c>
      <c r="R6" s="99">
        <v>8064.2063400965635</v>
      </c>
      <c r="S6" s="99">
        <v>5269000</v>
      </c>
      <c r="T6" s="99">
        <v>1656364.6415009145</v>
      </c>
      <c r="U6" s="99">
        <v>217010.36743552322</v>
      </c>
      <c r="V6" s="99">
        <v>105946.31157195524</v>
      </c>
      <c r="W6" s="99">
        <v>1382651.4311789067</v>
      </c>
      <c r="X6" s="99">
        <v>76.5</v>
      </c>
      <c r="Y6" s="99">
        <v>827693.20492220437</v>
      </c>
      <c r="Z6" s="99">
        <v>3272565.4875000007</v>
      </c>
      <c r="AA6" s="99">
        <v>1078.6499999999999</v>
      </c>
      <c r="AB6" s="99">
        <v>4368323.901678659</v>
      </c>
      <c r="AC6" s="99"/>
      <c r="AD6" s="99"/>
      <c r="AE6" s="99">
        <v>911574.64248506655</v>
      </c>
      <c r="AF6" s="99">
        <v>2005102.1714007764</v>
      </c>
      <c r="AG6" s="99">
        <v>98826.033045954537</v>
      </c>
      <c r="AH6" s="99">
        <v>38726531.363933533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78">
        <v>2030</v>
      </c>
      <c r="B7" s="99">
        <v>27538.926117236064</v>
      </c>
      <c r="C7" s="99">
        <v>838082.09943668195</v>
      </c>
      <c r="D7" s="99">
        <v>2854666.803694027</v>
      </c>
      <c r="E7" s="99">
        <v>671994.5174286142</v>
      </c>
      <c r="F7" s="99">
        <v>26093.272398664274</v>
      </c>
      <c r="G7" s="99">
        <v>963208.41340759175</v>
      </c>
      <c r="H7" s="99">
        <v>454522.60542797972</v>
      </c>
      <c r="I7" s="99">
        <v>486901.45426588471</v>
      </c>
      <c r="J7" s="99"/>
      <c r="K7" s="99">
        <v>527095.33891758695</v>
      </c>
      <c r="L7" s="99">
        <v>1169085.9387063598</v>
      </c>
      <c r="M7" s="99">
        <v>195159.40515559562</v>
      </c>
      <c r="N7" s="99"/>
      <c r="O7" s="99">
        <v>691370.57654557168</v>
      </c>
      <c r="P7" s="99">
        <v>509635.29432711436</v>
      </c>
      <c r="Q7" s="99">
        <v>148073.98049444324</v>
      </c>
      <c r="R7" s="99"/>
      <c r="S7" s="99">
        <v>2166191.8663943978</v>
      </c>
      <c r="T7" s="99">
        <v>199263.33288089724</v>
      </c>
      <c r="U7" s="99">
        <v>78556.736153927603</v>
      </c>
      <c r="V7" s="99">
        <v>33169.141373315404</v>
      </c>
      <c r="W7" s="99">
        <v>477364.10723776347</v>
      </c>
      <c r="X7" s="99">
        <v>12539.656520911765</v>
      </c>
      <c r="Y7" s="99">
        <v>783291.25515859458</v>
      </c>
      <c r="Z7" s="99">
        <v>465003.33145723998</v>
      </c>
      <c r="AA7" s="99">
        <v>712.85913913544425</v>
      </c>
      <c r="AB7" s="99">
        <v>4495296.7922755899</v>
      </c>
      <c r="AC7" s="99">
        <v>1918096.1012731828</v>
      </c>
      <c r="AD7" s="99">
        <v>1501098.0618875297</v>
      </c>
      <c r="AE7" s="99">
        <v>588981.75537258375</v>
      </c>
      <c r="AF7" s="99">
        <v>1307746.6579023309</v>
      </c>
      <c r="AG7" s="99">
        <v>107856.85811878227</v>
      </c>
      <c r="AH7" s="99">
        <v>23698597.139469534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78">
        <v>2050</v>
      </c>
      <c r="B8" s="99"/>
      <c r="C8" s="99">
        <v>45599.112462056364</v>
      </c>
      <c r="D8" s="99">
        <v>2904989.6823706953</v>
      </c>
      <c r="E8" s="99">
        <v>191940.89424258086</v>
      </c>
      <c r="F8" s="99">
        <v>1005.3066360172252</v>
      </c>
      <c r="G8" s="99">
        <v>383496.06856011332</v>
      </c>
      <c r="H8" s="99">
        <v>451126.7667083547</v>
      </c>
      <c r="I8" s="99">
        <v>38975.506711951748</v>
      </c>
      <c r="J8" s="99">
        <v>89.563070134143345</v>
      </c>
      <c r="K8" s="99">
        <v>386031.78774597071</v>
      </c>
      <c r="L8" s="99">
        <v>115973.32455267682</v>
      </c>
      <c r="M8" s="99">
        <v>192606.70069262292</v>
      </c>
      <c r="N8" s="99"/>
      <c r="O8" s="99">
        <v>278565.49059983634</v>
      </c>
      <c r="P8" s="99"/>
      <c r="Q8" s="99">
        <v>270457.58448627812</v>
      </c>
      <c r="R8" s="99">
        <v>3542.5928618621338</v>
      </c>
      <c r="S8" s="99">
        <v>332990.25925576978</v>
      </c>
      <c r="T8" s="99">
        <v>209902.43302081013</v>
      </c>
      <c r="U8" s="99">
        <v>7965.3981704007565</v>
      </c>
      <c r="V8" s="99">
        <v>1511.6633776466692</v>
      </c>
      <c r="W8" s="99">
        <v>64027.685668013553</v>
      </c>
      <c r="X8" s="99">
        <v>16907.931304182355</v>
      </c>
      <c r="Y8" s="99">
        <v>754480.51999100088</v>
      </c>
      <c r="Z8" s="99">
        <v>121866.19478874917</v>
      </c>
      <c r="AA8" s="99">
        <v>209.97667263477487</v>
      </c>
      <c r="AB8" s="99">
        <v>4656828.3734416533</v>
      </c>
      <c r="AC8" s="99">
        <v>340994.86244856589</v>
      </c>
      <c r="AD8" s="99">
        <v>300219.61237750604</v>
      </c>
      <c r="AE8" s="99">
        <v>176398.87119798979</v>
      </c>
      <c r="AF8" s="99">
        <v>411321.81092640071</v>
      </c>
      <c r="AG8" s="99">
        <v>53435.106242291848</v>
      </c>
      <c r="AH8" s="99">
        <v>12713461.080584763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78" t="s">
        <v>62</v>
      </c>
      <c r="B9" s="99">
        <v>204135.8255192319</v>
      </c>
      <c r="C9" s="99">
        <v>1096392.221654485</v>
      </c>
      <c r="D9" s="99">
        <v>8990185.5583062358</v>
      </c>
      <c r="E9" s="99">
        <v>2216153.4188140524</v>
      </c>
      <c r="F9" s="99">
        <v>165373.85906358063</v>
      </c>
      <c r="G9" s="99">
        <v>2849262.5175759196</v>
      </c>
      <c r="H9" s="99">
        <v>5023653.082436501</v>
      </c>
      <c r="I9" s="99">
        <v>525876.96097783651</v>
      </c>
      <c r="J9" s="99">
        <v>89.563070134143345</v>
      </c>
      <c r="K9" s="99">
        <v>913127.12666355772</v>
      </c>
      <c r="L9" s="99">
        <v>3325933.0141251711</v>
      </c>
      <c r="M9" s="99">
        <v>2362436.4351596376</v>
      </c>
      <c r="N9" s="99">
        <v>51892.132620096323</v>
      </c>
      <c r="O9" s="99">
        <v>2236198.3134129001</v>
      </c>
      <c r="P9" s="99">
        <v>3046418.535656054</v>
      </c>
      <c r="Q9" s="99">
        <v>419411.66498072137</v>
      </c>
      <c r="R9" s="99">
        <v>11606.799201958696</v>
      </c>
      <c r="S9" s="99">
        <v>7768182.1256501675</v>
      </c>
      <c r="T9" s="99">
        <v>2065530.4074026218</v>
      </c>
      <c r="U9" s="99">
        <v>303532.50175985158</v>
      </c>
      <c r="V9" s="99">
        <v>140627.11632291731</v>
      </c>
      <c r="W9" s="99">
        <v>1924043.2240846837</v>
      </c>
      <c r="X9" s="99">
        <v>29524.08782509412</v>
      </c>
      <c r="Y9" s="99">
        <v>2365464.9800717998</v>
      </c>
      <c r="Z9" s="99">
        <v>3859435.0137459901</v>
      </c>
      <c r="AA9" s="99">
        <v>2001.4858117702188</v>
      </c>
      <c r="AB9" s="99">
        <v>13520449.067395901</v>
      </c>
      <c r="AC9" s="99">
        <v>2259090.9637217484</v>
      </c>
      <c r="AD9" s="99">
        <v>1801317.6742650357</v>
      </c>
      <c r="AE9" s="99">
        <v>1676955.2690556399</v>
      </c>
      <c r="AF9" s="99">
        <v>3724170.6402295078</v>
      </c>
      <c r="AG9" s="99">
        <v>260117.99740702868</v>
      </c>
      <c r="AH9" s="99">
        <v>75138589.583987832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60" t="s">
        <v>24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2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25">
      <c r="A2" s="61"/>
      <c r="B2" s="62"/>
      <c r="C2" s="356" t="s">
        <v>7</v>
      </c>
      <c r="D2" s="357"/>
      <c r="E2" s="357"/>
      <c r="F2" s="357"/>
      <c r="G2" s="357"/>
      <c r="H2" s="357"/>
      <c r="I2" s="357"/>
      <c r="J2" s="357"/>
      <c r="K2" s="358"/>
      <c r="L2" s="356" t="s">
        <v>8</v>
      </c>
      <c r="M2" s="357"/>
      <c r="N2" s="357"/>
      <c r="O2" s="357"/>
      <c r="P2" s="357"/>
      <c r="Q2" s="357"/>
      <c r="R2" s="357"/>
      <c r="S2" s="357"/>
      <c r="T2" s="358"/>
      <c r="U2" s="71"/>
      <c r="W2" s="31" t="s">
        <v>298</v>
      </c>
      <c r="X2" s="35">
        <f>C23+C50</f>
        <v>11808068</v>
      </c>
      <c r="Y2" s="11">
        <f>D23+D50</f>
        <v>4471608.583018776</v>
      </c>
      <c r="Z2" s="23">
        <f>E23+E50</f>
        <v>1276887.7198872385</v>
      </c>
    </row>
    <row r="3" spans="1:26" ht="15.75" thickBot="1" x14ac:dyDescent="0.3">
      <c r="A3" s="61"/>
      <c r="B3" s="63"/>
      <c r="C3" s="174">
        <f>År1</f>
        <v>2019</v>
      </c>
      <c r="D3" s="174">
        <f>År1</f>
        <v>2019</v>
      </c>
      <c r="E3" s="174">
        <f>År1</f>
        <v>2019</v>
      </c>
      <c r="F3" s="175">
        <f>År2</f>
        <v>2030</v>
      </c>
      <c r="G3" s="175">
        <f>År2</f>
        <v>2030</v>
      </c>
      <c r="H3" s="175">
        <f>År2</f>
        <v>2030</v>
      </c>
      <c r="I3" s="175">
        <f>År3</f>
        <v>2050</v>
      </c>
      <c r="J3" s="175">
        <f>År3</f>
        <v>2050</v>
      </c>
      <c r="K3" s="175">
        <f>År3</f>
        <v>2050</v>
      </c>
      <c r="L3" s="174">
        <f>År1</f>
        <v>2019</v>
      </c>
      <c r="M3" s="174">
        <f>År1</f>
        <v>2019</v>
      </c>
      <c r="N3" s="174">
        <f>År1</f>
        <v>2019</v>
      </c>
      <c r="O3" s="175">
        <f>År2</f>
        <v>2030</v>
      </c>
      <c r="P3" s="175">
        <f>År2</f>
        <v>2030</v>
      </c>
      <c r="Q3" s="175">
        <f>År2</f>
        <v>2030</v>
      </c>
      <c r="R3" s="175">
        <f>År3</f>
        <v>2050</v>
      </c>
      <c r="S3" s="175">
        <f>År3</f>
        <v>2050</v>
      </c>
      <c r="T3" s="175">
        <f>År3</f>
        <v>2050</v>
      </c>
      <c r="U3" s="71"/>
      <c r="W3" s="31" t="s">
        <v>299</v>
      </c>
      <c r="X3" s="35">
        <f t="shared" ref="X3:Z4" si="0">C24+C51</f>
        <v>1267084</v>
      </c>
      <c r="Y3" s="11">
        <f t="shared" si="0"/>
        <v>362326.78948390862</v>
      </c>
      <c r="Z3" s="23">
        <f t="shared" si="0"/>
        <v>-20036.286778381706</v>
      </c>
    </row>
    <row r="4" spans="1:26" ht="15.75" thickBot="1" x14ac:dyDescent="0.3">
      <c r="A4" s="61"/>
      <c r="B4" s="40" t="s">
        <v>30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300</v>
      </c>
      <c r="X4" s="48">
        <f t="shared" si="0"/>
        <v>19782594</v>
      </c>
      <c r="Y4" s="16">
        <f t="shared" si="0"/>
        <v>5998414.7151165372</v>
      </c>
      <c r="Z4" s="24">
        <f t="shared" si="0"/>
        <v>168170.05525909321</v>
      </c>
    </row>
    <row r="5" spans="1:26" x14ac:dyDescent="0.25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172698.38963314588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0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172698.38963314588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5" s="11">
        <f>(VLOOKUP($B5,'[1]Afgrødefordeling - jordtype'!$F$4:$I$17,MATCH(R$4,'[1]Afgrødefordeling - jordtype'!$F$3:$I$3,0),FALSE)+SUMIF(Landbrug!$B$32:$B$45,$B5,Landbrug!$E$32:$E$45))*(Landbrug!$E$5)*Arealanvendelse!P$26</f>
        <v>44370.532475093103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5" s="95"/>
      <c r="W5" s="31" t="s">
        <v>301</v>
      </c>
      <c r="X5" s="34">
        <f t="shared" ref="X5:Z7" si="1">F23+F50</f>
        <v>490924</v>
      </c>
      <c r="Y5" s="11">
        <f t="shared" si="1"/>
        <v>2456161.9169812235</v>
      </c>
      <c r="Z5" s="23">
        <f t="shared" si="1"/>
        <v>1353905.5801127614</v>
      </c>
    </row>
    <row r="6" spans="1:26" x14ac:dyDescent="0.25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162502.61268805928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0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162502.61268805928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196337.31428605763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6" s="95"/>
      <c r="W6" s="31" t="s">
        <v>302</v>
      </c>
      <c r="X6" s="34">
        <f t="shared" si="1"/>
        <v>224348</v>
      </c>
      <c r="Y6" s="11">
        <f t="shared" si="1"/>
        <v>432873.21051609138</v>
      </c>
      <c r="Z6" s="23">
        <f t="shared" si="1"/>
        <v>258250.6867783817</v>
      </c>
    </row>
    <row r="7" spans="1:26" ht="15.75" thickBot="1" x14ac:dyDescent="0.3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41667.79106598362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0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41667.79106598362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7" s="11">
        <f>(VLOOKUP($B7,'[1]Afgrødefordeling - jordtype'!$F$4:$I$17,MATCH(R$4,'[1]Afgrødefordeling - jordtype'!$F$3:$I$3,0),FALSE)+SUMIF(Landbrug!$B$32:$B$45,$B7,Landbrug!$E$32:$E$45))*(Landbrug!$E$5)*Arealanvendelse!P$26</f>
        <v>26638.18036097239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7" s="95"/>
      <c r="W7" s="46" t="s">
        <v>303</v>
      </c>
      <c r="X7" s="47">
        <f t="shared" si="1"/>
        <v>3277287</v>
      </c>
      <c r="Y7" s="16">
        <f t="shared" si="1"/>
        <v>6424299.2848834628</v>
      </c>
      <c r="Z7" s="24">
        <f t="shared" si="1"/>
        <v>3744810.3447409067</v>
      </c>
    </row>
    <row r="8" spans="1:26" x14ac:dyDescent="0.25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79447.372407112256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0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79447.372407112256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8" s="11">
        <f>(VLOOKUP($B8,'[1]Afgrødefordeling - jordtype'!$F$4:$I$17,MATCH(R$4,'[1]Afgrødefordeling - jordtype'!$F$3:$I$3,0),FALSE)+SUMIF(Landbrug!$B$32:$B$45,$B8,Landbrug!$E$32:$E$45))*(Landbrug!$E$5)*Arealanvendelse!P$26</f>
        <v>24376.47640121137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8" s="95"/>
    </row>
    <row r="9" spans="1:26" x14ac:dyDescent="0.25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23733.116798028695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0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23733.116798028695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9" s="11">
        <f>(VLOOKUP($B9,'[1]Afgrødefordeling - jordtype'!$F$4:$I$17,MATCH(R$4,'[1]Afgrødefordeling - jordtype'!$F$3:$I$3,0),FALSE)+SUMIF(Landbrug!$B$32:$B$45,$B9,Landbrug!$E$32:$E$45))*(Landbrug!$E$5)*Arealanvendelse!P$26</f>
        <v>37184.355853018991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9" s="95"/>
    </row>
    <row r="10" spans="1:26" x14ac:dyDescent="0.25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18314.785524866154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0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18314.785524866154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11708.625477922109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0" s="95"/>
    </row>
    <row r="11" spans="1:26" x14ac:dyDescent="0.25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1787.9048045348884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0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1787.9048045348884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1143.0058909537534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1" s="95"/>
    </row>
    <row r="12" spans="1:26" x14ac:dyDescent="0.25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40567.410384497816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0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40567.410384497816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17129.989529427923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2" s="95"/>
    </row>
    <row r="13" spans="1:26" x14ac:dyDescent="0.25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14897.502511358665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0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14897.502511358665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18328.678079943478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3" s="95"/>
    </row>
    <row r="14" spans="1:26" x14ac:dyDescent="0.25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19897.459682199926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0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19897.459682199926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12720.427605588167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4" s="95"/>
    </row>
    <row r="15" spans="1:26" x14ac:dyDescent="0.25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20930.3776507398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0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20930.3776507398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13380.771109290645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5" s="95"/>
    </row>
    <row r="16" spans="1:26" x14ac:dyDescent="0.25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5642.7197646373925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0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5642.7197646373925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3607.38553620004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6" s="95"/>
    </row>
    <row r="17" spans="1:21" x14ac:dyDescent="0.25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2075.5733753802315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0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2075.5733753802315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1326.9121427208943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7" s="95"/>
    </row>
    <row r="18" spans="1:21" x14ac:dyDescent="0.25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84459.789309670814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0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84459.789309670814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31983.269138445532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8" s="95"/>
    </row>
    <row r="19" spans="1:21" ht="15.75" thickBot="1" x14ac:dyDescent="0.3">
      <c r="A19" s="61"/>
      <c r="B19" s="43" t="s">
        <v>31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688622.80560021533</v>
      </c>
      <c r="G19" s="38">
        <f t="shared" si="2"/>
        <v>0</v>
      </c>
      <c r="H19" s="38">
        <f t="shared" si="2"/>
        <v>0</v>
      </c>
      <c r="I19" s="38">
        <f t="shared" si="2"/>
        <v>0</v>
      </c>
      <c r="J19" s="38">
        <f t="shared" si="2"/>
        <v>0</v>
      </c>
      <c r="K19" s="39">
        <f t="shared" si="2"/>
        <v>0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688622.80560021533</v>
      </c>
      <c r="P19" s="38">
        <f t="shared" si="2"/>
        <v>0</v>
      </c>
      <c r="Q19" s="38">
        <f t="shared" si="2"/>
        <v>0</v>
      </c>
      <c r="R19" s="38">
        <f t="shared" si="2"/>
        <v>440235.92388684599</v>
      </c>
      <c r="S19" s="38">
        <f t="shared" si="2"/>
        <v>0</v>
      </c>
      <c r="T19" s="39">
        <f t="shared" si="2"/>
        <v>0</v>
      </c>
      <c r="U19" s="95"/>
    </row>
    <row r="20" spans="1:21" ht="15.75" thickBot="1" x14ac:dyDescent="0.3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25">
      <c r="A21" s="61"/>
      <c r="B21" s="45"/>
      <c r="C21" s="356" t="s">
        <v>7</v>
      </c>
      <c r="D21" s="357"/>
      <c r="E21" s="358"/>
      <c r="F21" s="359" t="s">
        <v>8</v>
      </c>
      <c r="G21" s="357"/>
      <c r="H21" s="358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25">
      <c r="A22" s="61"/>
      <c r="B22" s="32" t="s">
        <v>27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25">
      <c r="A23" s="61"/>
      <c r="B23" s="31" t="s">
        <v>23</v>
      </c>
      <c r="C23" s="35">
        <f>SUM([1]Dyrehold!$E24:$E26)-F23</f>
        <v>10266966</v>
      </c>
      <c r="D23" s="11">
        <f>($F23+$C23)*Landbrug!C11*(1-Landbrug!D6)</f>
        <v>3080129.8315355</v>
      </c>
      <c r="E23" s="23">
        <f>($F23+$C23)*Landbrug!D11*(1-Landbrug!E6)</f>
        <v>78903.816307100002</v>
      </c>
      <c r="F23" s="34">
        <f>SUM([1]Dyrehold!E58:G61)</f>
        <v>475477</v>
      </c>
      <c r="G23" s="11">
        <f>($F23+$C23)*Landbrug!C11*Landbrug!D6</f>
        <v>2291091.6684645</v>
      </c>
      <c r="H23" s="23">
        <f>($F23+$C23)*Landbrug!D11*Landbrug!E6</f>
        <v>995340.48369290004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25">
      <c r="A24" s="61"/>
      <c r="B24" s="31" t="s">
        <v>3</v>
      </c>
      <c r="C24" s="35">
        <f>SUM([1]Dyrehold!$D24:$D26)-F24</f>
        <v>1184629</v>
      </c>
      <c r="D24" s="11">
        <f>($F24+$C24)*Landbrug!C12*(1-Landbrug!D7)</f>
        <v>322314.87160400534</v>
      </c>
      <c r="E24" s="23">
        <f>($F24+$C24)*Landbrug!D12*(1-Landbrug!E7)</f>
        <v>-5160.2256791989348</v>
      </c>
      <c r="F24" s="34">
        <f>SUM([1]Dyrehold!E36:G51)</f>
        <v>207835</v>
      </c>
      <c r="G24" s="11">
        <f>($F24+$C24)*Landbrug!C12*Landbrug!D7</f>
        <v>373917.12839599466</v>
      </c>
      <c r="H24" s="23">
        <f>($F24+$C24)*Landbrug!D12*Landbrug!E7</f>
        <v>144406.62567919894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5.75" thickBot="1" x14ac:dyDescent="0.3">
      <c r="A25" s="61"/>
      <c r="B25" s="46" t="s">
        <v>4</v>
      </c>
      <c r="C25" s="48">
        <f>SUM([1]Dyrehold!$F24:$F26)-F25</f>
        <v>18212034</v>
      </c>
      <c r="D25" s="16">
        <f>($F25+$C25)*Landbrug!C13*(1-Landbrug!D8)</f>
        <v>5012718.1414474156</v>
      </c>
      <c r="E25" s="24">
        <f>($F25+$C25)*Landbrug!D13*(1-Landbrug!E8)</f>
        <v>-61173.071710517135</v>
      </c>
      <c r="F25" s="47">
        <f>SUM([1]Dyrehold!E65:G78)</f>
        <v>3062300</v>
      </c>
      <c r="G25" s="16">
        <f>($F25+$C25)*Landbrug!C13*Landbrug!D8</f>
        <v>5624448.8585525844</v>
      </c>
      <c r="H25" s="24">
        <f>($F25+$C25)*Landbrug!D13*Landbrug!E8</f>
        <v>2188606.4717105171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5.75" thickBot="1" x14ac:dyDescent="0.3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5.75" thickBot="1" x14ac:dyDescent="0.3">
      <c r="B27" s="6"/>
      <c r="F27" s="85"/>
      <c r="G27" s="85"/>
      <c r="H27" s="85"/>
      <c r="I27" s="12"/>
    </row>
    <row r="28" spans="1:21" ht="21.75" thickBot="1" x14ac:dyDescent="0.4">
      <c r="A28" s="363" t="s">
        <v>25</v>
      </c>
      <c r="B28" s="364"/>
      <c r="C28" s="364"/>
      <c r="D28" s="364"/>
      <c r="E28" s="364"/>
      <c r="F28" s="364"/>
      <c r="G28" s="364"/>
      <c r="H28" s="364"/>
      <c r="I28" s="364"/>
      <c r="J28" s="364"/>
      <c r="K28" s="364"/>
      <c r="L28" s="364"/>
      <c r="M28" s="364"/>
      <c r="N28" s="364"/>
      <c r="O28" s="364"/>
      <c r="P28" s="364"/>
      <c r="Q28" s="364"/>
      <c r="R28" s="364"/>
      <c r="S28" s="364"/>
      <c r="T28" s="364"/>
      <c r="U28" s="365"/>
    </row>
    <row r="29" spans="1:21" x14ac:dyDescent="0.25">
      <c r="A29" s="56"/>
      <c r="B29" s="53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3"/>
    </row>
    <row r="30" spans="1:21" ht="15.75" thickBot="1" x14ac:dyDescent="0.3">
      <c r="A30" s="56"/>
      <c r="B30" s="55"/>
      <c r="C30" s="174">
        <f>År1</f>
        <v>2019</v>
      </c>
      <c r="D30" s="174">
        <f>År1</f>
        <v>2019</v>
      </c>
      <c r="E30" s="174">
        <f>År1</f>
        <v>2019</v>
      </c>
      <c r="F30" s="175">
        <f>År2</f>
        <v>2030</v>
      </c>
      <c r="G30" s="175">
        <f>År2</f>
        <v>2030</v>
      </c>
      <c r="H30" s="175">
        <f>År2</f>
        <v>2030</v>
      </c>
      <c r="I30" s="175">
        <f>År3</f>
        <v>2050</v>
      </c>
      <c r="J30" s="175">
        <f>År3</f>
        <v>2050</v>
      </c>
      <c r="K30" s="175">
        <f>År3</f>
        <v>2050</v>
      </c>
      <c r="L30" s="174">
        <f>År1</f>
        <v>2019</v>
      </c>
      <c r="M30" s="174">
        <f>År1</f>
        <v>2019</v>
      </c>
      <c r="N30" s="174">
        <f>År1</f>
        <v>2019</v>
      </c>
      <c r="O30" s="175">
        <f>År2</f>
        <v>2030</v>
      </c>
      <c r="P30" s="175">
        <f>År2</f>
        <v>2030</v>
      </c>
      <c r="Q30" s="175">
        <f>År2</f>
        <v>2030</v>
      </c>
      <c r="R30" s="175">
        <f>År3</f>
        <v>2050</v>
      </c>
      <c r="S30" s="175">
        <f>År3</f>
        <v>2050</v>
      </c>
      <c r="T30" s="175">
        <f>År3</f>
        <v>2050</v>
      </c>
      <c r="U30" s="53"/>
    </row>
    <row r="31" spans="1:21" x14ac:dyDescent="0.25">
      <c r="A31" s="56"/>
      <c r="B31" s="60" t="s">
        <v>30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25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149841.88011277147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0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149841.88011277147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239333.33810745462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2" s="53"/>
    </row>
    <row r="33" spans="1:21" x14ac:dyDescent="0.25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3265.7793246486704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0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3265.7793246486704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5216.2310477033061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3" s="53"/>
    </row>
    <row r="34" spans="1:21" x14ac:dyDescent="0.25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20716.164134757324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0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20716.164134757324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33088.671280832452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4" s="53"/>
    </row>
    <row r="35" spans="1:21" x14ac:dyDescent="0.25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12585.585572688986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0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12585.585572688986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20102.191756281507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5" s="53"/>
    </row>
    <row r="36" spans="1:21" x14ac:dyDescent="0.25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1972.1645512572102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0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1972.1645512572102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3150.0187063479598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6" s="53"/>
    </row>
    <row r="37" spans="1:21" x14ac:dyDescent="0.25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1265.1484015207616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0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1265.1484015207616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2020.744733777979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7" s="53"/>
    </row>
    <row r="38" spans="1:21" x14ac:dyDescent="0.25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3122.1791080683429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0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3122.1791080683429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4986.8671398208262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8" s="53"/>
    </row>
    <row r="39" spans="1:21" x14ac:dyDescent="0.25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3719.8713198652576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0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3719.8713198652576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5941.5246234464012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9" s="53"/>
    </row>
    <row r="40" spans="1:21" x14ac:dyDescent="0.25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10895.352017639287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0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10895.352017639287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17402.484313964145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0" s="53"/>
    </row>
    <row r="41" spans="1:21" x14ac:dyDescent="0.25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6180.4056844499446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0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6180.4056844499446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9871.5867833776501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1" s="53"/>
    </row>
    <row r="42" spans="1:21" x14ac:dyDescent="0.25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19121.992898738237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0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19121.992898738237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30542.398348697665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2" s="53"/>
    </row>
    <row r="43" spans="1:21" x14ac:dyDescent="0.25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1356.3029011647714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0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1356.3029011647714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2166.3402820112005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3" s="53"/>
    </row>
    <row r="44" spans="1:21" x14ac:dyDescent="0.25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644.6996597846429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0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644.6996597846429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1029.7396264440467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4" s="53"/>
    </row>
    <row r="45" spans="1:21" x14ac:dyDescent="0.25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16057.66871242961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0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16057.66871242961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25647.939362994217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5" s="53"/>
    </row>
    <row r="46" spans="1:21" ht="15.75" thickBot="1" x14ac:dyDescent="0.3">
      <c r="A46" s="56"/>
      <c r="B46" s="44" t="s">
        <v>31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250745.19439978455</v>
      </c>
      <c r="G46" s="38">
        <f t="shared" si="3"/>
        <v>0</v>
      </c>
      <c r="H46" s="38">
        <f t="shared" si="3"/>
        <v>0</v>
      </c>
      <c r="I46" s="38">
        <f t="shared" si="3"/>
        <v>0</v>
      </c>
      <c r="J46" s="38">
        <f t="shared" si="3"/>
        <v>0</v>
      </c>
      <c r="K46" s="39">
        <f t="shared" si="3"/>
        <v>0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250745.19439978455</v>
      </c>
      <c r="P46" s="38">
        <f t="shared" si="3"/>
        <v>0</v>
      </c>
      <c r="Q46" s="38">
        <f t="shared" si="3"/>
        <v>0</v>
      </c>
      <c r="R46" s="38">
        <f t="shared" si="3"/>
        <v>400500.07611315401</v>
      </c>
      <c r="S46" s="38">
        <f t="shared" si="3"/>
        <v>0</v>
      </c>
      <c r="T46" s="39">
        <f t="shared" si="3"/>
        <v>0</v>
      </c>
      <c r="U46" s="53"/>
    </row>
    <row r="47" spans="1:21" ht="15.75" thickBot="1" x14ac:dyDescent="0.3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25">
      <c r="A48" s="56"/>
      <c r="B48" s="49"/>
      <c r="C48" s="356" t="s">
        <v>7</v>
      </c>
      <c r="D48" s="357"/>
      <c r="E48" s="358"/>
      <c r="F48" s="359" t="s">
        <v>8</v>
      </c>
      <c r="G48" s="357"/>
      <c r="H48" s="358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25">
      <c r="A49" s="56"/>
      <c r="B49" s="32" t="s">
        <v>27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25">
      <c r="A50" s="56"/>
      <c r="B50" s="31" t="s">
        <v>23</v>
      </c>
      <c r="C50" s="35">
        <f>SUM([1]Dyrehold!$E$22:$E$23)-F50</f>
        <v>1541102</v>
      </c>
      <c r="D50" s="11">
        <f>SUM([1]Dyrehold!$E$22:$E$23)-G50</f>
        <v>1391478.7514832765</v>
      </c>
      <c r="E50" s="23">
        <f>SUM([1]Dyrehold!$E$22:$E$23)-H50</f>
        <v>1197983.9035801385</v>
      </c>
      <c r="F50" s="50">
        <f>SUM([1]Dyrehold!C58:D61)</f>
        <v>15447</v>
      </c>
      <c r="G50" s="11">
        <f>$F50/Landbrug!$C6*Landbrug!D6</f>
        <v>165070.24851672363</v>
      </c>
      <c r="H50" s="23">
        <f>$F50/Landbrug!$C6*Landbrug!E6</f>
        <v>358565.09641986142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25">
      <c r="A51" s="56"/>
      <c r="B51" s="31" t="s">
        <v>3</v>
      </c>
      <c r="C51" s="35">
        <f>SUM([1]Dyrehold!$D$22:$D$23)-F51</f>
        <v>82455</v>
      </c>
      <c r="D51" s="11">
        <f>SUM([1]Dyrehold!$D$22:$D$23)-G51</f>
        <v>40011.917879903303</v>
      </c>
      <c r="E51" s="23">
        <f>SUM([1]Dyrehold!$D$22:$D$23)-H51</f>
        <v>-14876.061099182771</v>
      </c>
      <c r="F51" s="50">
        <f>SUM([1]Dyrehold!C36:D51)</f>
        <v>16513</v>
      </c>
      <c r="G51" s="11">
        <f>$F51/Landbrug!$C7*Landbrug!D7</f>
        <v>58956.082120096697</v>
      </c>
      <c r="H51" s="23">
        <f>$F51/Landbrug!$C7*Landbrug!E7</f>
        <v>113844.06109918277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5.75" thickBot="1" x14ac:dyDescent="0.3">
      <c r="A52" s="56"/>
      <c r="B52" s="46" t="s">
        <v>4</v>
      </c>
      <c r="C52" s="48">
        <f>SUM([1]Dyrehold!$F$22:$F$23)-F52</f>
        <v>1570560</v>
      </c>
      <c r="D52" s="16">
        <f>SUM([1]Dyrehold!$F$22:$F$23)-G52</f>
        <v>985696.57366912137</v>
      </c>
      <c r="E52" s="24">
        <f>SUM([1]Dyrehold!$F$22:$F$23)-H52</f>
        <v>229343.12696961034</v>
      </c>
      <c r="F52" s="51">
        <f>SUM([1]Dyrehold!C65:D78)</f>
        <v>214987</v>
      </c>
      <c r="G52" s="16">
        <f>$F52/Landbrug!$C8*Landbrug!D8</f>
        <v>799850.42633087863</v>
      </c>
      <c r="H52" s="24">
        <f>$F52/Landbrug!$C8*Landbrug!E8</f>
        <v>1556203.8730303897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5.75" thickBot="1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J56" sqref="J56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2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7" t="s">
        <v>63</v>
      </c>
    </row>
    <row r="4" spans="1:11" x14ac:dyDescent="0.25">
      <c r="A4" s="77" t="s">
        <v>61</v>
      </c>
      <c r="B4" s="173" t="s">
        <v>242</v>
      </c>
      <c r="C4" s="173" t="s">
        <v>165</v>
      </c>
      <c r="D4" s="173" t="s">
        <v>236</v>
      </c>
      <c r="E4" s="173" t="s">
        <v>239</v>
      </c>
      <c r="F4" s="173" t="s">
        <v>238</v>
      </c>
      <c r="G4" s="173" t="s">
        <v>234</v>
      </c>
      <c r="H4" s="173" t="s">
        <v>243</v>
      </c>
      <c r="I4" s="173" t="s">
        <v>237</v>
      </c>
      <c r="J4" s="173" t="s">
        <v>342</v>
      </c>
      <c r="K4" s="173" t="s">
        <v>62</v>
      </c>
    </row>
    <row r="5" spans="1:11" x14ac:dyDescent="0.25">
      <c r="A5" s="78" t="s">
        <v>311</v>
      </c>
      <c r="B5" s="249"/>
      <c r="C5" s="249"/>
      <c r="D5" s="249"/>
      <c r="E5" s="249"/>
      <c r="F5" s="249"/>
      <c r="G5" s="249"/>
      <c r="H5" s="249"/>
      <c r="I5" s="249"/>
      <c r="J5" s="249"/>
      <c r="K5" s="249"/>
    </row>
    <row r="6" spans="1:11" x14ac:dyDescent="0.25">
      <c r="A6" s="79">
        <v>2019</v>
      </c>
      <c r="B6" s="249">
        <v>17.543930524502301</v>
      </c>
      <c r="C6" s="249">
        <v>0</v>
      </c>
      <c r="D6" s="249">
        <v>0</v>
      </c>
      <c r="E6" s="249">
        <v>19.573590488557194</v>
      </c>
      <c r="F6" s="249">
        <v>0</v>
      </c>
      <c r="G6" s="249">
        <v>0</v>
      </c>
      <c r="H6" s="249">
        <v>7.5981675535184188</v>
      </c>
      <c r="I6" s="249">
        <v>47.489094924341849</v>
      </c>
      <c r="J6" s="249">
        <v>0</v>
      </c>
      <c r="K6" s="249">
        <v>92.204783490919766</v>
      </c>
    </row>
    <row r="7" spans="1:11" x14ac:dyDescent="0.25">
      <c r="A7" s="79">
        <v>2030</v>
      </c>
      <c r="B7" s="249">
        <v>30.922182878330066</v>
      </c>
      <c r="C7" s="249">
        <v>0</v>
      </c>
      <c r="D7" s="249">
        <v>3.8590938044324772</v>
      </c>
      <c r="E7" s="249">
        <v>11.649872012036834</v>
      </c>
      <c r="F7" s="249">
        <v>0.14415073922128113</v>
      </c>
      <c r="G7" s="249">
        <v>1.6831914774161196</v>
      </c>
      <c r="H7" s="249">
        <v>5.1082258285052422</v>
      </c>
      <c r="I7" s="249">
        <v>43.34326206912398</v>
      </c>
      <c r="J7" s="249">
        <v>0</v>
      </c>
      <c r="K7" s="249">
        <v>96.709978809066001</v>
      </c>
    </row>
    <row r="8" spans="1:11" x14ac:dyDescent="0.25">
      <c r="A8" s="79">
        <v>2050</v>
      </c>
      <c r="B8" s="249">
        <v>31.572280265069505</v>
      </c>
      <c r="C8" s="249">
        <v>0</v>
      </c>
      <c r="D8" s="249">
        <v>2.3997505704667463</v>
      </c>
      <c r="E8" s="249">
        <v>6.2073813042052022</v>
      </c>
      <c r="F8" s="249">
        <v>0.25791055042193833</v>
      </c>
      <c r="G8" s="249">
        <v>0.47522688526800949</v>
      </c>
      <c r="H8" s="249">
        <v>1.7353928211562413</v>
      </c>
      <c r="I8" s="249">
        <v>39.441262645863254</v>
      </c>
      <c r="J8" s="249">
        <v>0</v>
      </c>
      <c r="K8" s="249">
        <v>82.089205042450885</v>
      </c>
    </row>
    <row r="9" spans="1:11" x14ac:dyDescent="0.25">
      <c r="A9" s="78" t="s">
        <v>257</v>
      </c>
      <c r="B9" s="249"/>
      <c r="C9" s="249"/>
      <c r="D9" s="249"/>
      <c r="E9" s="249"/>
      <c r="F9" s="249"/>
      <c r="G9" s="249"/>
      <c r="H9" s="249"/>
      <c r="I9" s="249"/>
      <c r="J9" s="249"/>
      <c r="K9" s="249"/>
    </row>
    <row r="10" spans="1:11" x14ac:dyDescent="0.25">
      <c r="A10" s="79">
        <v>2019</v>
      </c>
      <c r="B10" s="249">
        <v>7.4504602234640007</v>
      </c>
      <c r="C10" s="249">
        <v>2.1694819870080004</v>
      </c>
      <c r="D10" s="249">
        <v>1.4201719861750002</v>
      </c>
      <c r="E10" s="249">
        <v>0.45076703431999998</v>
      </c>
      <c r="F10" s="249">
        <v>0</v>
      </c>
      <c r="G10" s="249">
        <v>5.0922829580050024</v>
      </c>
      <c r="H10" s="249">
        <v>0</v>
      </c>
      <c r="I10" s="249">
        <v>0</v>
      </c>
      <c r="J10" s="249">
        <v>0</v>
      </c>
      <c r="K10" s="249">
        <v>16.583164188972003</v>
      </c>
    </row>
    <row r="11" spans="1:11" x14ac:dyDescent="0.25">
      <c r="A11" s="79">
        <v>2030</v>
      </c>
      <c r="B11" s="249">
        <v>1.4915439279394263</v>
      </c>
      <c r="C11" s="249">
        <v>0</v>
      </c>
      <c r="D11" s="249">
        <v>0</v>
      </c>
      <c r="E11" s="249">
        <v>0</v>
      </c>
      <c r="F11" s="249">
        <v>0</v>
      </c>
      <c r="G11" s="249">
        <v>5.74315272869572</v>
      </c>
      <c r="H11" s="249">
        <v>0</v>
      </c>
      <c r="I11" s="249">
        <v>0</v>
      </c>
      <c r="J11" s="249">
        <v>0</v>
      </c>
      <c r="K11" s="249">
        <v>7.2346966566351458</v>
      </c>
    </row>
    <row r="12" spans="1:11" x14ac:dyDescent="0.25">
      <c r="A12" s="79">
        <v>2050</v>
      </c>
      <c r="B12" s="249">
        <v>1.4681549667806308</v>
      </c>
      <c r="C12" s="249">
        <v>0</v>
      </c>
      <c r="D12" s="249">
        <v>0</v>
      </c>
      <c r="E12" s="249">
        <v>0</v>
      </c>
      <c r="F12" s="249">
        <v>0</v>
      </c>
      <c r="G12" s="249">
        <v>1.0049139628702437</v>
      </c>
      <c r="H12" s="249">
        <v>0</v>
      </c>
      <c r="I12" s="249">
        <v>0</v>
      </c>
      <c r="J12" s="249">
        <v>0</v>
      </c>
      <c r="K12" s="249">
        <v>2.4730689296508745</v>
      </c>
    </row>
    <row r="13" spans="1:11" x14ac:dyDescent="0.25">
      <c r="A13" s="78" t="s">
        <v>312</v>
      </c>
      <c r="B13" s="249">
        <v>80.038393667901872</v>
      </c>
      <c r="C13" s="249">
        <v>0</v>
      </c>
      <c r="D13" s="249">
        <v>6.2588443748992235</v>
      </c>
      <c r="E13" s="249">
        <v>37.430843804799231</v>
      </c>
      <c r="F13" s="249">
        <v>0.40206128964321947</v>
      </c>
      <c r="G13" s="249">
        <v>2.1584183626841291</v>
      </c>
      <c r="H13" s="249">
        <v>14.441786203179902</v>
      </c>
      <c r="I13" s="249">
        <v>130.27361963932907</v>
      </c>
      <c r="J13" s="249">
        <v>0</v>
      </c>
      <c r="K13" s="249">
        <v>271.00396734243668</v>
      </c>
    </row>
    <row r="14" spans="1:11" x14ac:dyDescent="0.25">
      <c r="A14" s="78" t="s">
        <v>258</v>
      </c>
      <c r="B14" s="249">
        <v>10.410159118184058</v>
      </c>
      <c r="C14" s="249">
        <v>2.1694819870080004</v>
      </c>
      <c r="D14" s="249">
        <v>1.4201719861750002</v>
      </c>
      <c r="E14" s="249">
        <v>0.45076703431999998</v>
      </c>
      <c r="F14" s="249">
        <v>0</v>
      </c>
      <c r="G14" s="249">
        <v>11.840349649570967</v>
      </c>
      <c r="H14" s="249">
        <v>0</v>
      </c>
      <c r="I14" s="249">
        <v>0</v>
      </c>
      <c r="J14" s="249">
        <v>0</v>
      </c>
      <c r="K14" s="249">
        <v>26.290929775258025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.140625" bestFit="1" customWidth="1"/>
    <col min="4" max="4" width="13.28515625" bestFit="1" customWidth="1"/>
    <col min="5" max="5" width="12" bestFit="1" customWidth="1"/>
    <col min="6" max="6" width="12.7109375" bestFit="1" customWidth="1"/>
    <col min="7" max="7" width="14.42578125" bestFit="1" customWidth="1"/>
    <col min="8" max="8" width="9.140625" bestFit="1" customWidth="1"/>
    <col min="9" max="9" width="10.7109375" bestFit="1" customWidth="1"/>
    <col min="10" max="10" width="11.7109375" bestFit="1" customWidth="1"/>
    <col min="11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7" t="s">
        <v>251</v>
      </c>
      <c r="B1" s="77" t="s">
        <v>63</v>
      </c>
    </row>
    <row r="2" spans="1:10" x14ac:dyDescent="0.25">
      <c r="A2" s="77" t="s">
        <v>61</v>
      </c>
      <c r="B2" s="173" t="s">
        <v>242</v>
      </c>
      <c r="C2" s="173" t="s">
        <v>165</v>
      </c>
      <c r="D2" s="173" t="s">
        <v>236</v>
      </c>
      <c r="E2" s="173" t="s">
        <v>239</v>
      </c>
      <c r="F2" s="173" t="s">
        <v>238</v>
      </c>
      <c r="G2" s="173" t="s">
        <v>234</v>
      </c>
      <c r="H2" s="173" t="s">
        <v>243</v>
      </c>
      <c r="I2" s="173" t="s">
        <v>237</v>
      </c>
      <c r="J2" s="173" t="s">
        <v>62</v>
      </c>
    </row>
    <row r="3" spans="1:10" x14ac:dyDescent="0.25">
      <c r="A3" s="78">
        <v>2019</v>
      </c>
      <c r="B3" s="250">
        <v>1077304.94</v>
      </c>
      <c r="C3" s="250">
        <v>128467.8</v>
      </c>
      <c r="D3" s="250">
        <v>128726.35999999999</v>
      </c>
      <c r="E3" s="250">
        <v>1675417.9906552273</v>
      </c>
      <c r="F3" s="250">
        <v>0</v>
      </c>
      <c r="G3" s="250">
        <v>704016.11583333346</v>
      </c>
      <c r="H3" s="250">
        <v>197552.35639147891</v>
      </c>
      <c r="I3" s="250">
        <v>1575873.4784311759</v>
      </c>
      <c r="J3" s="250">
        <v>5487359.0413112156</v>
      </c>
    </row>
    <row r="4" spans="1:10" x14ac:dyDescent="0.25">
      <c r="A4" s="78">
        <v>2030</v>
      </c>
      <c r="B4" s="250">
        <v>1163576.0115483031</v>
      </c>
      <c r="C4" s="250">
        <v>0</v>
      </c>
      <c r="D4" s="250">
        <v>374530.16905968532</v>
      </c>
      <c r="E4" s="250">
        <v>963598.43948368472</v>
      </c>
      <c r="F4" s="250">
        <v>24092.045552303251</v>
      </c>
      <c r="G4" s="250">
        <v>1032906.7284109448</v>
      </c>
      <c r="H4" s="250">
        <v>132813.87154113629</v>
      </c>
      <c r="I4" s="250">
        <v>1455287.3624576703</v>
      </c>
      <c r="J4" s="250">
        <v>5146804.6280537276</v>
      </c>
    </row>
    <row r="5" spans="1:10" x14ac:dyDescent="0.25">
      <c r="A5" s="78">
        <v>2050</v>
      </c>
      <c r="B5" s="250">
        <v>1079601.6553520097</v>
      </c>
      <c r="C5" s="250">
        <v>0</v>
      </c>
      <c r="D5" s="250">
        <v>251865.62846245227</v>
      </c>
      <c r="E5" s="250">
        <v>515944.44781367498</v>
      </c>
      <c r="F5" s="250">
        <v>43104.827368569073</v>
      </c>
      <c r="G5" s="250">
        <v>209510.50804070031</v>
      </c>
      <c r="H5" s="250">
        <v>45120.213350062273</v>
      </c>
      <c r="I5" s="250">
        <v>1338429.6017408923</v>
      </c>
      <c r="J5" s="250">
        <v>3483576.8821283607</v>
      </c>
    </row>
    <row r="6" spans="1:10" x14ac:dyDescent="0.25">
      <c r="A6" s="78" t="s">
        <v>62</v>
      </c>
      <c r="B6" s="250">
        <v>3320482.6069003129</v>
      </c>
      <c r="C6" s="250">
        <v>128467.8</v>
      </c>
      <c r="D6" s="250">
        <v>755122.15752213751</v>
      </c>
      <c r="E6" s="250">
        <v>3154960.8779525869</v>
      </c>
      <c r="F6" s="250">
        <v>67196.872920872323</v>
      </c>
      <c r="G6" s="250">
        <v>1946433.3522849786</v>
      </c>
      <c r="H6" s="250">
        <v>375486.44128267746</v>
      </c>
      <c r="I6" s="250">
        <v>4369590.4426297387</v>
      </c>
      <c r="J6" s="250">
        <v>14117740.551493306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42578125" bestFit="1" customWidth="1"/>
    <col min="4" max="4" width="9.42578125" bestFit="1" customWidth="1"/>
    <col min="5" max="5" width="10.42578125" bestFit="1" customWidth="1"/>
    <col min="6" max="6" width="11.14062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7" t="s">
        <v>206</v>
      </c>
      <c r="B1" s="77" t="s">
        <v>63</v>
      </c>
    </row>
    <row r="2" spans="1:9" x14ac:dyDescent="0.25">
      <c r="A2" s="77" t="s">
        <v>61</v>
      </c>
      <c r="B2" s="173" t="s">
        <v>114</v>
      </c>
      <c r="C2" s="173" t="s">
        <v>208</v>
      </c>
      <c r="D2" s="173" t="s">
        <v>201</v>
      </c>
      <c r="E2" s="173" t="s">
        <v>202</v>
      </c>
      <c r="F2" s="173" t="s">
        <v>10</v>
      </c>
      <c r="G2" s="173" t="s">
        <v>279</v>
      </c>
      <c r="H2" s="173" t="s">
        <v>340</v>
      </c>
      <c r="I2" s="173" t="s">
        <v>62</v>
      </c>
    </row>
    <row r="3" spans="1:9" x14ac:dyDescent="0.25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25">
      <c r="A4" s="78">
        <v>2030</v>
      </c>
      <c r="B4" s="99">
        <v>4615804.8119752295</v>
      </c>
      <c r="C4" s="99">
        <v>-24734.384840099803</v>
      </c>
      <c r="D4" s="99">
        <v>2652891.1935631819</v>
      </c>
      <c r="E4" s="99">
        <v>4211255.6038762918</v>
      </c>
      <c r="F4" s="99">
        <v>-2059649.5955686467</v>
      </c>
      <c r="G4" s="99">
        <v>-163958.00505549787</v>
      </c>
      <c r="H4" s="99">
        <v>0</v>
      </c>
      <c r="I4" s="99">
        <v>9231609.6239504591</v>
      </c>
    </row>
    <row r="5" spans="1:9" x14ac:dyDescent="0.25">
      <c r="A5" s="78">
        <v>2050</v>
      </c>
      <c r="B5" s="99">
        <v>-10237674.694242705</v>
      </c>
      <c r="C5" s="99">
        <v>-44560.528686777063</v>
      </c>
      <c r="D5" s="99">
        <v>502970.77367898286</v>
      </c>
      <c r="E5" s="99">
        <v>1898658.5492599136</v>
      </c>
      <c r="F5" s="99">
        <v>-12575583.157406611</v>
      </c>
      <c r="G5" s="99">
        <v>-19160.331088212348</v>
      </c>
      <c r="H5" s="99">
        <v>0</v>
      </c>
      <c r="I5" s="99">
        <v>-20475349.388485406</v>
      </c>
    </row>
    <row r="6" spans="1:9" x14ac:dyDescent="0.25">
      <c r="A6" s="78" t="s">
        <v>62</v>
      </c>
      <c r="B6" s="99">
        <v>8895592.5601083674</v>
      </c>
      <c r="C6" s="99">
        <v>-69453.350726876874</v>
      </c>
      <c r="D6" s="99">
        <v>8675123.867978882</v>
      </c>
      <c r="E6" s="99">
        <v>15835380.342870386</v>
      </c>
      <c r="F6" s="99">
        <v>-15197132.752975259</v>
      </c>
      <c r="G6" s="99">
        <v>-348325.54703876993</v>
      </c>
      <c r="H6" s="99">
        <v>0</v>
      </c>
      <c r="I6" s="99">
        <v>17791185.120216731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65</v>
      </c>
      <c r="B1" t="s">
        <v>59</v>
      </c>
      <c r="C1" t="s">
        <v>31</v>
      </c>
      <c r="D1" t="s">
        <v>207</v>
      </c>
      <c r="E1" t="s">
        <v>209</v>
      </c>
    </row>
    <row r="2" spans="1:9" x14ac:dyDescent="0.25">
      <c r="A2" t="s">
        <v>24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114</v>
      </c>
      <c r="E2" s="99" t="s">
        <v>114</v>
      </c>
    </row>
    <row r="3" spans="1:9" x14ac:dyDescent="0.25">
      <c r="A3" t="s">
        <v>24</v>
      </c>
      <c r="B3" s="173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71</v>
      </c>
      <c r="E3" t="s">
        <v>201</v>
      </c>
      <c r="G3" s="99" t="s">
        <v>174</v>
      </c>
      <c r="H3" s="99" t="s">
        <v>175</v>
      </c>
      <c r="I3" s="99" t="s">
        <v>176</v>
      </c>
    </row>
    <row r="4" spans="1:9" x14ac:dyDescent="0.25">
      <c r="A4" t="s">
        <v>24</v>
      </c>
      <c r="B4" s="173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71</v>
      </c>
      <c r="E4" t="s">
        <v>202</v>
      </c>
      <c r="F4" t="str">
        <f>Jordbund1</f>
        <v>JB1-10</v>
      </c>
    </row>
    <row r="5" spans="1:9" x14ac:dyDescent="0.25">
      <c r="A5" t="s">
        <v>24</v>
      </c>
      <c r="B5" s="173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71</v>
      </c>
      <c r="E5" t="s">
        <v>202</v>
      </c>
      <c r="F5" t="str">
        <f>Organ6</f>
        <v>OC6</v>
      </c>
    </row>
    <row r="6" spans="1:9" x14ac:dyDescent="0.25">
      <c r="A6" t="s">
        <v>24</v>
      </c>
      <c r="B6" s="173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71</v>
      </c>
      <c r="E6" t="s">
        <v>202</v>
      </c>
      <c r="F6" t="str">
        <f>Organ12</f>
        <v>OC12</v>
      </c>
    </row>
    <row r="7" spans="1:9" x14ac:dyDescent="0.25">
      <c r="A7" t="s">
        <v>24</v>
      </c>
      <c r="B7" s="173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208</v>
      </c>
      <c r="E7" t="s">
        <v>208</v>
      </c>
      <c r="G7" t="s">
        <v>203</v>
      </c>
      <c r="H7" t="s">
        <v>204</v>
      </c>
    </row>
    <row r="8" spans="1:9" x14ac:dyDescent="0.25">
      <c r="A8" t="s">
        <v>24</v>
      </c>
      <c r="B8" s="173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205</v>
      </c>
    </row>
    <row r="9" spans="1:9" s="173" customFormat="1" x14ac:dyDescent="0.25">
      <c r="A9" s="173" t="s">
        <v>24</v>
      </c>
      <c r="B9" s="173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3" t="s">
        <v>279</v>
      </c>
      <c r="E9" s="173" t="s">
        <v>279</v>
      </c>
      <c r="G9" s="173" t="s">
        <v>279</v>
      </c>
    </row>
    <row r="10" spans="1:9" s="173" customFormat="1" x14ac:dyDescent="0.25">
      <c r="A10" s="173" t="s">
        <v>24</v>
      </c>
      <c r="B10" s="173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3" t="s">
        <v>340</v>
      </c>
      <c r="E10" s="173" t="s">
        <v>340</v>
      </c>
      <c r="G10" s="173" t="s">
        <v>340</v>
      </c>
    </row>
    <row r="11" spans="1:9" x14ac:dyDescent="0.25">
      <c r="A11" t="s">
        <v>24</v>
      </c>
      <c r="B11">
        <f t="shared" ref="B11:B19" si="1">År2</f>
        <v>2030</v>
      </c>
      <c r="C11" s="99">
        <f>SUMIF('Resultater - Vestdanmark'!$F$3:$F$487,'CO2-udledning'!$D$2,'Resultater - Vestdanmark'!I$3:I$487)</f>
        <v>3565813.7153921872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25">
      <c r="A12" t="s">
        <v>24</v>
      </c>
      <c r="B12" s="173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2433514.1349697388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25">
      <c r="A13" t="s">
        <v>24</v>
      </c>
      <c r="B13" s="173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3087061.7700891057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25">
      <c r="A14" t="s">
        <v>24</v>
      </c>
      <c r="B14" s="173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0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25">
      <c r="A15" t="s">
        <v>24</v>
      </c>
      <c r="B15" s="173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0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25">
      <c r="A16" t="s">
        <v>24</v>
      </c>
      <c r="B16" s="173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25">
      <c r="A17" t="s">
        <v>24</v>
      </c>
      <c r="B17" s="173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-1779798.3327872674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3" customFormat="1" x14ac:dyDescent="0.25">
      <c r="A18" s="173" t="s">
        <v>24</v>
      </c>
      <c r="B18" s="173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-150936.70638267873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3" customFormat="1" x14ac:dyDescent="0.25">
      <c r="A19" s="173" t="s">
        <v>24</v>
      </c>
      <c r="B19" s="173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0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25">
      <c r="A20" t="s">
        <v>24</v>
      </c>
      <c r="B20">
        <f t="shared" ref="B20:B28" si="11">År3</f>
        <v>2050</v>
      </c>
      <c r="C20" s="99">
        <f>SUMIF('Resultater - Vestdanmark'!$F$3:$F$487,'CO2-udledning'!$D$2,'Resultater - Vestdanmark'!J$3:J$487)</f>
        <v>-9801156.8132387623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25">
      <c r="A21" t="s">
        <v>24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460511.69512726943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25">
      <c r="A22" t="s">
        <v>24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1000855.2691702252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25">
      <c r="A23" t="s">
        <v>24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0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25">
      <c r="A24" t="s">
        <v>24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0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25">
      <c r="A25" t="s">
        <v>24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25">
      <c r="A26" t="s">
        <v>24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-11209072.815184468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3" customFormat="1" x14ac:dyDescent="0.25">
      <c r="A27" s="173" t="s">
        <v>24</v>
      </c>
      <c r="B27" s="173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-17834.038645732253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3" customFormat="1" x14ac:dyDescent="0.25">
      <c r="A28" s="173" t="s">
        <v>24</v>
      </c>
      <c r="B28" s="173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0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25">
      <c r="A29" t="s">
        <v>25</v>
      </c>
      <c r="B29" s="173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25">
      <c r="A30" t="s">
        <v>25</v>
      </c>
      <c r="B30" s="173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25">
      <c r="A31" t="s">
        <v>25</v>
      </c>
      <c r="B31" s="173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25">
      <c r="A32" t="s">
        <v>25</v>
      </c>
      <c r="B32" s="173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25">
      <c r="A33" t="s">
        <v>25</v>
      </c>
      <c r="B33" s="173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25">
      <c r="A34" t="s">
        <v>25</v>
      </c>
      <c r="B34" s="173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25">
      <c r="A35" t="s">
        <v>25</v>
      </c>
      <c r="B35" s="173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3" customFormat="1" x14ac:dyDescent="0.25">
      <c r="A36" s="173" t="s">
        <v>25</v>
      </c>
      <c r="B36" s="173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3" customFormat="1" x14ac:dyDescent="0.25">
      <c r="A37" s="173" t="s">
        <v>25</v>
      </c>
      <c r="B37" s="173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25">
      <c r="A38" s="173" t="s">
        <v>25</v>
      </c>
      <c r="B38" s="173">
        <f t="shared" ref="B38:B46" si="31">År2</f>
        <v>2030</v>
      </c>
      <c r="C38" s="99">
        <f>SUMIF('Resultater - Østdanmark'!$F$3:$F$487,'CO2-udledning'!$D$2,'Resultater - Østdanmark'!I$3:I$487)</f>
        <v>1049991.0965830418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25">
      <c r="A39" s="173" t="s">
        <v>25</v>
      </c>
      <c r="B39" s="173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219377.05859344304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25">
      <c r="A40" s="173" t="s">
        <v>25</v>
      </c>
      <c r="B40" s="173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1124193.8337871858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25">
      <c r="A41" s="173" t="s">
        <v>25</v>
      </c>
      <c r="B41" s="173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0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25">
      <c r="A42" s="173" t="s">
        <v>25</v>
      </c>
      <c r="B42" s="173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0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25">
      <c r="A43" s="173" t="s">
        <v>25</v>
      </c>
      <c r="B43" s="173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25">
      <c r="A44" s="173" t="s">
        <v>25</v>
      </c>
      <c r="B44" s="173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-279851.26278137922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3" customFormat="1" x14ac:dyDescent="0.25">
      <c r="A45" s="173" t="s">
        <v>25</v>
      </c>
      <c r="B45" s="173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-13021.298672819143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3" customFormat="1" x14ac:dyDescent="0.25">
      <c r="A46" s="173" t="s">
        <v>25</v>
      </c>
      <c r="B46" s="173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0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25">
      <c r="A47" s="173" t="s">
        <v>25</v>
      </c>
      <c r="B47" s="173">
        <f t="shared" ref="B47:B55" si="41">År3</f>
        <v>2050</v>
      </c>
      <c r="C47" s="99">
        <f>SUMIF('Resultater - Østdanmark'!$F$3:$F$487,'CO2-udledning'!$D$2,'Resultater - Østdanmark'!J$3:J$487)</f>
        <v>-436517.88100394275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25">
      <c r="A48" s="173" t="s">
        <v>25</v>
      </c>
      <c r="B48" s="173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42459.078551713465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25">
      <c r="A49" s="173" t="s">
        <v>25</v>
      </c>
      <c r="B49" s="173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897803.28008968849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25">
      <c r="A50" s="173" t="s">
        <v>25</v>
      </c>
      <c r="B50" s="173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0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25">
      <c r="A51" s="173" t="s">
        <v>25</v>
      </c>
      <c r="B51" s="173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0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25">
      <c r="A52" s="173" t="s">
        <v>25</v>
      </c>
      <c r="B52" s="173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25">
      <c r="A53" s="173" t="s">
        <v>25</v>
      </c>
      <c r="B53" s="173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-1366510.3422221434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3" customFormat="1" x14ac:dyDescent="0.25">
      <c r="A54" s="173" t="s">
        <v>25</v>
      </c>
      <c r="B54" s="173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-1326.2924424800949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25">
      <c r="A55" s="173" t="s">
        <v>25</v>
      </c>
      <c r="B55" s="173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0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42578125" bestFit="1" customWidth="1"/>
    <col min="4" max="4" width="7.7109375" bestFit="1" customWidth="1"/>
    <col min="5" max="5" width="10.42578125" bestFit="1" customWidth="1"/>
    <col min="6" max="6" width="10.85546875" bestFit="1" customWidth="1"/>
    <col min="7" max="7" width="9.5703125" bestFit="1" customWidth="1"/>
    <col min="8" max="8" width="9.42578125" bestFit="1" customWidth="1"/>
    <col min="9" max="10" width="10.42578125" bestFit="1" customWidth="1"/>
    <col min="11" max="11" width="9.42578125" bestFit="1" customWidth="1"/>
    <col min="12" max="12" width="12" bestFit="1" customWidth="1"/>
    <col min="13" max="14" width="9.42578125" bestFit="1" customWidth="1"/>
    <col min="15" max="15" width="11.28515625" bestFit="1" customWidth="1"/>
  </cols>
  <sheetData>
    <row r="1" spans="1:15" x14ac:dyDescent="0.25">
      <c r="A1" s="77" t="s">
        <v>129</v>
      </c>
      <c r="B1" s="77" t="s">
        <v>63</v>
      </c>
    </row>
    <row r="2" spans="1:15" x14ac:dyDescent="0.25">
      <c r="A2" s="77" t="s">
        <v>61</v>
      </c>
      <c r="B2" s="173" t="s">
        <v>50</v>
      </c>
      <c r="C2" s="173" t="s">
        <v>116</v>
      </c>
      <c r="D2" s="173" t="s">
        <v>55</v>
      </c>
      <c r="E2" s="173" t="s">
        <v>52</v>
      </c>
      <c r="F2" s="173" t="s">
        <v>6</v>
      </c>
      <c r="G2" s="173" t="s">
        <v>57</v>
      </c>
      <c r="H2" s="173" t="s">
        <v>12</v>
      </c>
      <c r="I2" s="173" t="s">
        <v>49</v>
      </c>
      <c r="J2" s="173" t="s">
        <v>54</v>
      </c>
      <c r="K2" s="173" t="s">
        <v>56</v>
      </c>
      <c r="L2" s="173" t="s">
        <v>97</v>
      </c>
      <c r="M2" s="173" t="s">
        <v>51</v>
      </c>
      <c r="N2" s="173" t="s">
        <v>53</v>
      </c>
      <c r="O2" s="173" t="s">
        <v>62</v>
      </c>
    </row>
    <row r="3" spans="1:15" x14ac:dyDescent="0.25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25">
      <c r="A4" s="79" t="s">
        <v>24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25">
      <c r="A5" s="79" t="s">
        <v>25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25">
      <c r="A6" s="78">
        <v>2030</v>
      </c>
      <c r="B6" s="99">
        <v>1076920.0611432428</v>
      </c>
      <c r="C6" s="99">
        <v>963208.41340759175</v>
      </c>
      <c r="D6" s="99">
        <v>368554.34597625525</v>
      </c>
      <c r="E6" s="99">
        <v>11685822.323170854</v>
      </c>
      <c r="F6" s="99">
        <v>990944.61305122031</v>
      </c>
      <c r="G6" s="99">
        <v>588981.75537258375</v>
      </c>
      <c r="H6" s="99">
        <v>1399578.0364423676</v>
      </c>
      <c r="I6" s="99">
        <v>4047745.6924946168</v>
      </c>
      <c r="J6" s="99">
        <v>3867074.1003351966</v>
      </c>
      <c r="K6" s="99">
        <v>1307746.6579023309</v>
      </c>
      <c r="L6" s="99">
        <v>111666.54461229002</v>
      </c>
      <c r="M6" s="99">
        <v>456091.5918308252</v>
      </c>
      <c r="N6" s="99">
        <v>671470.08012372523</v>
      </c>
      <c r="O6" s="99">
        <v>27535804.215863101</v>
      </c>
    </row>
    <row r="7" spans="1:15" x14ac:dyDescent="0.25">
      <c r="A7" s="79" t="s">
        <v>24</v>
      </c>
      <c r="B7" s="99">
        <v>1055703.8134178538</v>
      </c>
      <c r="C7" s="99">
        <v>503348.87978942681</v>
      </c>
      <c r="D7" s="99">
        <v>212870.55640082812</v>
      </c>
      <c r="E7" s="99">
        <v>10019425.413707765</v>
      </c>
      <c r="F7" s="99">
        <v>914917.20796027384</v>
      </c>
      <c r="G7" s="99">
        <v>474846.15363376588</v>
      </c>
      <c r="H7" s="99">
        <v>1309144.9470220618</v>
      </c>
      <c r="I7" s="99">
        <v>2167292.6710484698</v>
      </c>
      <c r="J7" s="99">
        <v>3542262.6085471725</v>
      </c>
      <c r="K7" s="99">
        <v>997813.12750469695</v>
      </c>
      <c r="L7" s="99">
        <v>85201.780821949884</v>
      </c>
      <c r="M7" s="99">
        <v>304634.88719504897</v>
      </c>
      <c r="N7" s="99">
        <v>244501.84634790485</v>
      </c>
      <c r="O7" s="99">
        <v>21831963.893397219</v>
      </c>
    </row>
    <row r="8" spans="1:15" x14ac:dyDescent="0.25">
      <c r="A8" s="79" t="s">
        <v>25</v>
      </c>
      <c r="B8" s="99">
        <v>21216.247725388857</v>
      </c>
      <c r="C8" s="99">
        <v>459859.53361816495</v>
      </c>
      <c r="D8" s="99">
        <v>155683.78957542713</v>
      </c>
      <c r="E8" s="99">
        <v>1666396.9094630885</v>
      </c>
      <c r="F8" s="99">
        <v>76027.405090946413</v>
      </c>
      <c r="G8" s="99">
        <v>114135.60173881784</v>
      </c>
      <c r="H8" s="99">
        <v>90433.089420305812</v>
      </c>
      <c r="I8" s="99">
        <v>1880453.021446147</v>
      </c>
      <c r="J8" s="99">
        <v>324811.4917880242</v>
      </c>
      <c r="K8" s="99">
        <v>309933.53039763391</v>
      </c>
      <c r="L8" s="99">
        <v>26464.763790340134</v>
      </c>
      <c r="M8" s="99">
        <v>151456.7046357762</v>
      </c>
      <c r="N8" s="99">
        <v>426968.23377582035</v>
      </c>
      <c r="O8" s="99">
        <v>5703840.3224658817</v>
      </c>
    </row>
    <row r="9" spans="1:15" x14ac:dyDescent="0.25">
      <c r="A9" s="78">
        <v>2050</v>
      </c>
      <c r="B9" s="99">
        <v>475387.09439526137</v>
      </c>
      <c r="C9" s="99">
        <v>383496.06856011332</v>
      </c>
      <c r="D9" s="99">
        <v>185363.60879328143</v>
      </c>
      <c r="E9" s="99">
        <v>2697386.7102569295</v>
      </c>
      <c r="F9" s="99">
        <v>564517.68214540207</v>
      </c>
      <c r="G9" s="99">
        <v>176398.87119798979</v>
      </c>
      <c r="H9" s="99">
        <v>356296.63090666669</v>
      </c>
      <c r="I9" s="99">
        <v>1428409.9507305357</v>
      </c>
      <c r="J9" s="99">
        <v>913706.19535776158</v>
      </c>
      <c r="K9" s="99">
        <v>411321.81092640071</v>
      </c>
      <c r="L9" s="99">
        <v>35122.158464159649</v>
      </c>
      <c r="M9" s="99">
        <v>154945.78760323583</v>
      </c>
      <c r="N9" s="99">
        <v>304343.7824693757</v>
      </c>
      <c r="O9" s="99">
        <v>8086696.3518071128</v>
      </c>
    </row>
    <row r="10" spans="1:15" x14ac:dyDescent="0.25">
      <c r="A10" s="79" t="s">
        <v>24</v>
      </c>
      <c r="B10" s="99">
        <v>463084.0167324213</v>
      </c>
      <c r="C10" s="99">
        <v>116828.38870778363</v>
      </c>
      <c r="D10" s="99">
        <v>95084.225804193949</v>
      </c>
      <c r="E10" s="99">
        <v>1484191.1539502868</v>
      </c>
      <c r="F10" s="99">
        <v>520430.19403510873</v>
      </c>
      <c r="G10" s="99">
        <v>110212.84290198362</v>
      </c>
      <c r="H10" s="99">
        <v>303855.43881513749</v>
      </c>
      <c r="I10" s="99">
        <v>223399.5256268252</v>
      </c>
      <c r="J10" s="99">
        <v>678402.70281965565</v>
      </c>
      <c r="K10" s="99">
        <v>231594.63465303747</v>
      </c>
      <c r="L10" s="99">
        <v>19775.521846053056</v>
      </c>
      <c r="M10" s="99">
        <v>69105.833019649028</v>
      </c>
      <c r="N10" s="99">
        <v>56749.419521612363</v>
      </c>
      <c r="O10" s="99">
        <v>4372713.8984337477</v>
      </c>
    </row>
    <row r="11" spans="1:15" x14ac:dyDescent="0.25">
      <c r="A11" s="79" t="s">
        <v>25</v>
      </c>
      <c r="B11" s="99">
        <v>12303.077662840105</v>
      </c>
      <c r="C11" s="99">
        <v>266667.67985232966</v>
      </c>
      <c r="D11" s="99">
        <v>90279.382989087491</v>
      </c>
      <c r="E11" s="99">
        <v>1213195.5563066429</v>
      </c>
      <c r="F11" s="99">
        <v>44087.488110293329</v>
      </c>
      <c r="G11" s="99">
        <v>66186.028296006189</v>
      </c>
      <c r="H11" s="99">
        <v>52441.192091529192</v>
      </c>
      <c r="I11" s="99">
        <v>1205010.4251037105</v>
      </c>
      <c r="J11" s="99">
        <v>235303.4925381059</v>
      </c>
      <c r="K11" s="99">
        <v>179727.17627336323</v>
      </c>
      <c r="L11" s="99">
        <v>15346.636618106591</v>
      </c>
      <c r="M11" s="99">
        <v>85839.954583586805</v>
      </c>
      <c r="N11" s="99">
        <v>247594.36294776335</v>
      </c>
      <c r="O11" s="99">
        <v>3713982.4533733651</v>
      </c>
    </row>
    <row r="12" spans="1:15" x14ac:dyDescent="0.25">
      <c r="A12" s="78" t="s">
        <v>62</v>
      </c>
      <c r="B12" s="99">
        <v>1837433.2575231828</v>
      </c>
      <c r="C12" s="99">
        <v>2849262.5175759196</v>
      </c>
      <c r="D12" s="99">
        <v>595645.84466230823</v>
      </c>
      <c r="E12" s="99">
        <v>32326647.728997964</v>
      </c>
      <c r="F12" s="99">
        <v>1836071.7166495672</v>
      </c>
      <c r="G12" s="99">
        <v>1676955.2690556399</v>
      </c>
      <c r="H12" s="99">
        <v>4018193.5079826014</v>
      </c>
      <c r="I12" s="99">
        <v>14585943.612669569</v>
      </c>
      <c r="J12" s="99">
        <v>12728475.589539699</v>
      </c>
      <c r="K12" s="99">
        <v>3724170.6402295078</v>
      </c>
      <c r="L12" s="99">
        <v>356571.09047144972</v>
      </c>
      <c r="M12" s="99">
        <v>1289445.1967124913</v>
      </c>
      <c r="N12" s="99">
        <v>3605236.9985796716</v>
      </c>
      <c r="O12" s="99">
        <v>81430052.97064957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58</v>
      </c>
      <c r="B1" t="s">
        <v>65</v>
      </c>
      <c r="C1" t="s">
        <v>59</v>
      </c>
      <c r="D1" t="s">
        <v>128</v>
      </c>
    </row>
    <row r="2" spans="1:4" x14ac:dyDescent="0.25">
      <c r="A2" t="s">
        <v>49</v>
      </c>
      <c r="B2" t="s">
        <v>24</v>
      </c>
      <c r="C2">
        <f t="shared" ref="C2:C14" si="0">År1</f>
        <v>2019</v>
      </c>
      <c r="D2" s="248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50</v>
      </c>
      <c r="B3" t="s">
        <v>24</v>
      </c>
      <c r="C3">
        <f t="shared" si="0"/>
        <v>2019</v>
      </c>
      <c r="D3" s="248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51</v>
      </c>
      <c r="B4" t="s">
        <v>24</v>
      </c>
      <c r="C4">
        <f t="shared" si="0"/>
        <v>2019</v>
      </c>
      <c r="D4" s="248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52</v>
      </c>
      <c r="B5" t="s">
        <v>24</v>
      </c>
      <c r="C5">
        <f t="shared" si="0"/>
        <v>2019</v>
      </c>
      <c r="D5" s="248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24</v>
      </c>
      <c r="C6">
        <f t="shared" si="0"/>
        <v>2019</v>
      </c>
      <c r="D6" s="248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24</v>
      </c>
      <c r="C7">
        <f t="shared" si="0"/>
        <v>2019</v>
      </c>
      <c r="D7" s="248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53</v>
      </c>
      <c r="B8" t="s">
        <v>24</v>
      </c>
      <c r="C8">
        <f t="shared" si="0"/>
        <v>2019</v>
      </c>
      <c r="D8" s="248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54</v>
      </c>
      <c r="B9" t="s">
        <v>24</v>
      </c>
      <c r="C9">
        <f t="shared" si="0"/>
        <v>2019</v>
      </c>
      <c r="D9" s="248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55</v>
      </c>
      <c r="B10" t="s">
        <v>24</v>
      </c>
      <c r="C10">
        <f t="shared" si="0"/>
        <v>2019</v>
      </c>
      <c r="D10" s="248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56</v>
      </c>
      <c r="B11" t="s">
        <v>24</v>
      </c>
      <c r="C11">
        <f t="shared" si="0"/>
        <v>2019</v>
      </c>
      <c r="D11" s="248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116</v>
      </c>
      <c r="B12" t="s">
        <v>24</v>
      </c>
      <c r="C12">
        <f t="shared" si="0"/>
        <v>2019</v>
      </c>
      <c r="D12" s="248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57</v>
      </c>
      <c r="B13" t="s">
        <v>24</v>
      </c>
      <c r="C13">
        <f t="shared" si="0"/>
        <v>2019</v>
      </c>
      <c r="D13" s="248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97</v>
      </c>
      <c r="B14" t="s">
        <v>24</v>
      </c>
      <c r="C14">
        <f t="shared" si="0"/>
        <v>2019</v>
      </c>
      <c r="D14" s="248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49</v>
      </c>
      <c r="B15" t="s">
        <v>24</v>
      </c>
      <c r="C15">
        <f t="shared" ref="C15:C27" si="1">År2</f>
        <v>2030</v>
      </c>
      <c r="D15" s="248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2167292.6710484698</v>
      </c>
    </row>
    <row r="16" spans="1:4" x14ac:dyDescent="0.25">
      <c r="A16" t="s">
        <v>50</v>
      </c>
      <c r="B16" t="s">
        <v>24</v>
      </c>
      <c r="C16">
        <f t="shared" si="1"/>
        <v>2030</v>
      </c>
      <c r="D16" s="248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1055703.8134178538</v>
      </c>
    </row>
    <row r="17" spans="1:4" x14ac:dyDescent="0.25">
      <c r="A17" t="s">
        <v>51</v>
      </c>
      <c r="B17" t="s">
        <v>24</v>
      </c>
      <c r="C17">
        <f t="shared" si="1"/>
        <v>2030</v>
      </c>
      <c r="D17" s="248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304634.88719504897</v>
      </c>
    </row>
    <row r="18" spans="1:4" x14ac:dyDescent="0.25">
      <c r="A18" t="s">
        <v>52</v>
      </c>
      <c r="B18" t="s">
        <v>24</v>
      </c>
      <c r="C18">
        <f t="shared" si="1"/>
        <v>2030</v>
      </c>
      <c r="D18" s="248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10019425.413707765</v>
      </c>
    </row>
    <row r="19" spans="1:4" x14ac:dyDescent="0.25">
      <c r="A19" t="s">
        <v>6</v>
      </c>
      <c r="B19" t="s">
        <v>24</v>
      </c>
      <c r="C19">
        <f t="shared" si="1"/>
        <v>2030</v>
      </c>
      <c r="D19" s="248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914917.20796027384</v>
      </c>
    </row>
    <row r="20" spans="1:4" x14ac:dyDescent="0.25">
      <c r="A20" t="s">
        <v>12</v>
      </c>
      <c r="B20" t="s">
        <v>24</v>
      </c>
      <c r="C20">
        <f t="shared" si="1"/>
        <v>2030</v>
      </c>
      <c r="D20" s="248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1309144.9470220618</v>
      </c>
    </row>
    <row r="21" spans="1:4" x14ac:dyDescent="0.25">
      <c r="A21" t="s">
        <v>53</v>
      </c>
      <c r="B21" t="s">
        <v>24</v>
      </c>
      <c r="C21">
        <f t="shared" si="1"/>
        <v>2030</v>
      </c>
      <c r="D21" s="248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244501.84634790485</v>
      </c>
    </row>
    <row r="22" spans="1:4" x14ac:dyDescent="0.25">
      <c r="A22" t="s">
        <v>54</v>
      </c>
      <c r="B22" t="s">
        <v>24</v>
      </c>
      <c r="C22">
        <f t="shared" si="1"/>
        <v>2030</v>
      </c>
      <c r="D22" s="248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3542262.6085471725</v>
      </c>
    </row>
    <row r="23" spans="1:4" x14ac:dyDescent="0.25">
      <c r="A23" t="s">
        <v>55</v>
      </c>
      <c r="B23" t="s">
        <v>24</v>
      </c>
      <c r="C23">
        <f t="shared" si="1"/>
        <v>2030</v>
      </c>
      <c r="D23" s="248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212870.55640082812</v>
      </c>
    </row>
    <row r="24" spans="1:4" x14ac:dyDescent="0.25">
      <c r="A24" t="s">
        <v>56</v>
      </c>
      <c r="B24" t="s">
        <v>24</v>
      </c>
      <c r="C24">
        <f t="shared" si="1"/>
        <v>2030</v>
      </c>
      <c r="D24" s="248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997813.12750469695</v>
      </c>
    </row>
    <row r="25" spans="1:4" x14ac:dyDescent="0.25">
      <c r="A25" t="s">
        <v>116</v>
      </c>
      <c r="B25" t="s">
        <v>24</v>
      </c>
      <c r="C25">
        <f t="shared" si="1"/>
        <v>2030</v>
      </c>
      <c r="D25" s="248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503348.87978942681</v>
      </c>
    </row>
    <row r="26" spans="1:4" x14ac:dyDescent="0.25">
      <c r="A26" t="s">
        <v>57</v>
      </c>
      <c r="B26" t="s">
        <v>24</v>
      </c>
      <c r="C26">
        <f t="shared" si="1"/>
        <v>2030</v>
      </c>
      <c r="D26" s="248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474846.15363376588</v>
      </c>
    </row>
    <row r="27" spans="1:4" x14ac:dyDescent="0.25">
      <c r="A27" t="s">
        <v>97</v>
      </c>
      <c r="B27" t="s">
        <v>24</v>
      </c>
      <c r="C27">
        <f t="shared" si="1"/>
        <v>2030</v>
      </c>
      <c r="D27" s="248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85201.780821949884</v>
      </c>
    </row>
    <row r="28" spans="1:4" x14ac:dyDescent="0.25">
      <c r="A28" t="s">
        <v>49</v>
      </c>
      <c r="B28" t="s">
        <v>24</v>
      </c>
      <c r="C28">
        <f t="shared" ref="C28:C40" si="2">År3</f>
        <v>2050</v>
      </c>
      <c r="D28" s="248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223399.5256268252</v>
      </c>
    </row>
    <row r="29" spans="1:4" x14ac:dyDescent="0.25">
      <c r="A29" t="s">
        <v>50</v>
      </c>
      <c r="B29" t="s">
        <v>24</v>
      </c>
      <c r="C29">
        <f t="shared" si="2"/>
        <v>2050</v>
      </c>
      <c r="D29" s="248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463084.0167324213</v>
      </c>
    </row>
    <row r="30" spans="1:4" x14ac:dyDescent="0.25">
      <c r="A30" t="s">
        <v>51</v>
      </c>
      <c r="B30" t="s">
        <v>24</v>
      </c>
      <c r="C30">
        <f t="shared" si="2"/>
        <v>2050</v>
      </c>
      <c r="D30" s="248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69105.833019649028</v>
      </c>
    </row>
    <row r="31" spans="1:4" x14ac:dyDescent="0.25">
      <c r="A31" t="s">
        <v>52</v>
      </c>
      <c r="B31" t="s">
        <v>24</v>
      </c>
      <c r="C31">
        <f t="shared" si="2"/>
        <v>2050</v>
      </c>
      <c r="D31" s="248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1484191.1539502868</v>
      </c>
    </row>
    <row r="32" spans="1:4" x14ac:dyDescent="0.25">
      <c r="A32" t="s">
        <v>6</v>
      </c>
      <c r="B32" t="s">
        <v>24</v>
      </c>
      <c r="C32">
        <f t="shared" si="2"/>
        <v>2050</v>
      </c>
      <c r="D32" s="248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520430.19403510873</v>
      </c>
    </row>
    <row r="33" spans="1:4" x14ac:dyDescent="0.25">
      <c r="A33" t="s">
        <v>12</v>
      </c>
      <c r="B33" t="s">
        <v>24</v>
      </c>
      <c r="C33">
        <f t="shared" si="2"/>
        <v>2050</v>
      </c>
      <c r="D33" s="248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303855.43881513749</v>
      </c>
    </row>
    <row r="34" spans="1:4" x14ac:dyDescent="0.25">
      <c r="A34" t="s">
        <v>53</v>
      </c>
      <c r="B34" t="s">
        <v>24</v>
      </c>
      <c r="C34">
        <f t="shared" si="2"/>
        <v>2050</v>
      </c>
      <c r="D34" s="248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56749.419521612363</v>
      </c>
    </row>
    <row r="35" spans="1:4" x14ac:dyDescent="0.25">
      <c r="A35" t="s">
        <v>54</v>
      </c>
      <c r="B35" t="s">
        <v>24</v>
      </c>
      <c r="C35">
        <f t="shared" si="2"/>
        <v>2050</v>
      </c>
      <c r="D35" s="248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678402.70281965565</v>
      </c>
    </row>
    <row r="36" spans="1:4" x14ac:dyDescent="0.25">
      <c r="A36" t="s">
        <v>55</v>
      </c>
      <c r="B36" t="s">
        <v>24</v>
      </c>
      <c r="C36">
        <f t="shared" si="2"/>
        <v>2050</v>
      </c>
      <c r="D36" s="248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95084.225804193949</v>
      </c>
    </row>
    <row r="37" spans="1:4" x14ac:dyDescent="0.25">
      <c r="A37" t="s">
        <v>56</v>
      </c>
      <c r="B37" t="s">
        <v>24</v>
      </c>
      <c r="C37">
        <f t="shared" si="2"/>
        <v>2050</v>
      </c>
      <c r="D37" s="248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231594.63465303747</v>
      </c>
    </row>
    <row r="38" spans="1:4" x14ac:dyDescent="0.25">
      <c r="A38" t="s">
        <v>116</v>
      </c>
      <c r="B38" t="s">
        <v>24</v>
      </c>
      <c r="C38">
        <f t="shared" si="2"/>
        <v>2050</v>
      </c>
      <c r="D38" s="248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116828.38870778363</v>
      </c>
    </row>
    <row r="39" spans="1:4" x14ac:dyDescent="0.25">
      <c r="A39" t="s">
        <v>57</v>
      </c>
      <c r="B39" t="s">
        <v>24</v>
      </c>
      <c r="C39">
        <f t="shared" si="2"/>
        <v>2050</v>
      </c>
      <c r="D39" s="248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110212.84290198362</v>
      </c>
    </row>
    <row r="40" spans="1:4" x14ac:dyDescent="0.25">
      <c r="A40" t="s">
        <v>97</v>
      </c>
      <c r="B40" t="s">
        <v>24</v>
      </c>
      <c r="C40">
        <f t="shared" si="2"/>
        <v>2050</v>
      </c>
      <c r="D40" s="248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19775.521846053056</v>
      </c>
    </row>
    <row r="41" spans="1:4" x14ac:dyDescent="0.25">
      <c r="A41" t="s">
        <v>49</v>
      </c>
      <c r="B41" t="s">
        <v>25</v>
      </c>
      <c r="C41">
        <f t="shared" ref="C41:C53" si="3">År1</f>
        <v>2019</v>
      </c>
      <c r="D41" s="248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50</v>
      </c>
      <c r="B42" t="s">
        <v>25</v>
      </c>
      <c r="C42">
        <f t="shared" si="3"/>
        <v>2019</v>
      </c>
      <c r="D42" s="248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51</v>
      </c>
      <c r="B43" t="s">
        <v>25</v>
      </c>
      <c r="C43">
        <f t="shared" si="3"/>
        <v>2019</v>
      </c>
      <c r="D43" s="248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52</v>
      </c>
      <c r="B44" t="s">
        <v>25</v>
      </c>
      <c r="C44">
        <f t="shared" si="3"/>
        <v>2019</v>
      </c>
      <c r="D44" s="248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25</v>
      </c>
      <c r="C45">
        <f t="shared" si="3"/>
        <v>2019</v>
      </c>
      <c r="D45" s="248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25</v>
      </c>
      <c r="C46">
        <f t="shared" si="3"/>
        <v>2019</v>
      </c>
      <c r="D46" s="248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53</v>
      </c>
      <c r="B47" t="s">
        <v>25</v>
      </c>
      <c r="C47">
        <f t="shared" si="3"/>
        <v>2019</v>
      </c>
      <c r="D47" s="248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54</v>
      </c>
      <c r="B48" t="s">
        <v>25</v>
      </c>
      <c r="C48">
        <f t="shared" si="3"/>
        <v>2019</v>
      </c>
      <c r="D48" s="248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55</v>
      </c>
      <c r="B49" t="s">
        <v>25</v>
      </c>
      <c r="C49">
        <f t="shared" si="3"/>
        <v>2019</v>
      </c>
      <c r="D49" s="248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56</v>
      </c>
      <c r="B50" t="s">
        <v>25</v>
      </c>
      <c r="C50">
        <f t="shared" si="3"/>
        <v>2019</v>
      </c>
      <c r="D50" s="248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116</v>
      </c>
      <c r="B51" t="s">
        <v>25</v>
      </c>
      <c r="C51">
        <f t="shared" si="3"/>
        <v>2019</v>
      </c>
      <c r="D51" s="248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57</v>
      </c>
      <c r="B52" t="s">
        <v>25</v>
      </c>
      <c r="C52">
        <f t="shared" si="3"/>
        <v>2019</v>
      </c>
      <c r="D52" s="248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97</v>
      </c>
      <c r="B53" t="s">
        <v>25</v>
      </c>
      <c r="C53">
        <f t="shared" si="3"/>
        <v>2019</v>
      </c>
      <c r="D53" s="248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49</v>
      </c>
      <c r="B54" t="s">
        <v>25</v>
      </c>
      <c r="C54">
        <f t="shared" ref="C54:C66" si="4">År2</f>
        <v>2030</v>
      </c>
      <c r="D54" s="248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1880453.021446147</v>
      </c>
    </row>
    <row r="55" spans="1:4" x14ac:dyDescent="0.25">
      <c r="A55" t="s">
        <v>50</v>
      </c>
      <c r="B55" t="s">
        <v>25</v>
      </c>
      <c r="C55">
        <f t="shared" si="4"/>
        <v>2030</v>
      </c>
      <c r="D55" s="248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21216.247725388857</v>
      </c>
    </row>
    <row r="56" spans="1:4" x14ac:dyDescent="0.25">
      <c r="A56" t="s">
        <v>51</v>
      </c>
      <c r="B56" t="s">
        <v>25</v>
      </c>
      <c r="C56">
        <f t="shared" si="4"/>
        <v>2030</v>
      </c>
      <c r="D56" s="248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151456.7046357762</v>
      </c>
    </row>
    <row r="57" spans="1:4" x14ac:dyDescent="0.25">
      <c r="A57" t="s">
        <v>52</v>
      </c>
      <c r="B57" t="s">
        <v>25</v>
      </c>
      <c r="C57">
        <f t="shared" si="4"/>
        <v>2030</v>
      </c>
      <c r="D57" s="248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1666396.9094630885</v>
      </c>
    </row>
    <row r="58" spans="1:4" x14ac:dyDescent="0.25">
      <c r="A58" t="s">
        <v>6</v>
      </c>
      <c r="B58" t="s">
        <v>25</v>
      </c>
      <c r="C58">
        <f t="shared" si="4"/>
        <v>2030</v>
      </c>
      <c r="D58" s="248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76027.405090946413</v>
      </c>
    </row>
    <row r="59" spans="1:4" x14ac:dyDescent="0.25">
      <c r="A59" t="s">
        <v>12</v>
      </c>
      <c r="B59" t="s">
        <v>25</v>
      </c>
      <c r="C59">
        <f t="shared" si="4"/>
        <v>2030</v>
      </c>
      <c r="D59" s="248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90433.089420305812</v>
      </c>
    </row>
    <row r="60" spans="1:4" x14ac:dyDescent="0.25">
      <c r="A60" t="s">
        <v>53</v>
      </c>
      <c r="B60" t="s">
        <v>25</v>
      </c>
      <c r="C60">
        <f t="shared" si="4"/>
        <v>2030</v>
      </c>
      <c r="D60" s="248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426968.23377582035</v>
      </c>
    </row>
    <row r="61" spans="1:4" x14ac:dyDescent="0.25">
      <c r="A61" t="s">
        <v>54</v>
      </c>
      <c r="B61" t="s">
        <v>25</v>
      </c>
      <c r="C61">
        <f t="shared" si="4"/>
        <v>2030</v>
      </c>
      <c r="D61" s="248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324811.4917880242</v>
      </c>
    </row>
    <row r="62" spans="1:4" x14ac:dyDescent="0.25">
      <c r="A62" t="s">
        <v>55</v>
      </c>
      <c r="B62" t="s">
        <v>25</v>
      </c>
      <c r="C62">
        <f t="shared" si="4"/>
        <v>2030</v>
      </c>
      <c r="D62" s="248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155683.78957542713</v>
      </c>
    </row>
    <row r="63" spans="1:4" x14ac:dyDescent="0.25">
      <c r="A63" t="s">
        <v>56</v>
      </c>
      <c r="B63" t="s">
        <v>25</v>
      </c>
      <c r="C63">
        <f t="shared" si="4"/>
        <v>2030</v>
      </c>
      <c r="D63" s="248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309933.53039763391</v>
      </c>
    </row>
    <row r="64" spans="1:4" x14ac:dyDescent="0.25">
      <c r="A64" t="s">
        <v>116</v>
      </c>
      <c r="B64" t="s">
        <v>25</v>
      </c>
      <c r="C64">
        <f t="shared" si="4"/>
        <v>2030</v>
      </c>
      <c r="D64" s="248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459859.53361816495</v>
      </c>
    </row>
    <row r="65" spans="1:4" x14ac:dyDescent="0.25">
      <c r="A65" t="s">
        <v>57</v>
      </c>
      <c r="B65" t="s">
        <v>25</v>
      </c>
      <c r="C65">
        <f t="shared" si="4"/>
        <v>2030</v>
      </c>
      <c r="D65" s="248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114135.60173881784</v>
      </c>
    </row>
    <row r="66" spans="1:4" x14ac:dyDescent="0.25">
      <c r="A66" t="s">
        <v>97</v>
      </c>
      <c r="B66" t="s">
        <v>25</v>
      </c>
      <c r="C66">
        <f t="shared" si="4"/>
        <v>2030</v>
      </c>
      <c r="D66" s="248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26464.763790340134</v>
      </c>
    </row>
    <row r="67" spans="1:4" x14ac:dyDescent="0.25">
      <c r="A67" t="s">
        <v>49</v>
      </c>
      <c r="B67" t="s">
        <v>25</v>
      </c>
      <c r="C67">
        <f t="shared" ref="C67:C79" si="5">År3</f>
        <v>2050</v>
      </c>
      <c r="D67" s="248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1205010.4251037105</v>
      </c>
    </row>
    <row r="68" spans="1:4" x14ac:dyDescent="0.25">
      <c r="A68" t="s">
        <v>50</v>
      </c>
      <c r="B68" t="s">
        <v>25</v>
      </c>
      <c r="C68">
        <f t="shared" si="5"/>
        <v>2050</v>
      </c>
      <c r="D68" s="248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12303.077662840105</v>
      </c>
    </row>
    <row r="69" spans="1:4" x14ac:dyDescent="0.25">
      <c r="A69" t="s">
        <v>51</v>
      </c>
      <c r="B69" t="s">
        <v>25</v>
      </c>
      <c r="C69">
        <f t="shared" si="5"/>
        <v>2050</v>
      </c>
      <c r="D69" s="248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85839.954583586805</v>
      </c>
    </row>
    <row r="70" spans="1:4" x14ac:dyDescent="0.25">
      <c r="A70" t="s">
        <v>52</v>
      </c>
      <c r="B70" t="s">
        <v>25</v>
      </c>
      <c r="C70">
        <f t="shared" si="5"/>
        <v>2050</v>
      </c>
      <c r="D70" s="248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1213195.5563066429</v>
      </c>
    </row>
    <row r="71" spans="1:4" x14ac:dyDescent="0.25">
      <c r="A71" t="s">
        <v>6</v>
      </c>
      <c r="B71" t="s">
        <v>25</v>
      </c>
      <c r="C71">
        <f t="shared" si="5"/>
        <v>2050</v>
      </c>
      <c r="D71" s="248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44087.488110293329</v>
      </c>
    </row>
    <row r="72" spans="1:4" x14ac:dyDescent="0.25">
      <c r="A72" t="s">
        <v>12</v>
      </c>
      <c r="B72" t="s">
        <v>25</v>
      </c>
      <c r="C72">
        <f t="shared" si="5"/>
        <v>2050</v>
      </c>
      <c r="D72" s="248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52441.192091529192</v>
      </c>
    </row>
    <row r="73" spans="1:4" x14ac:dyDescent="0.25">
      <c r="A73" t="s">
        <v>53</v>
      </c>
      <c r="B73" t="s">
        <v>25</v>
      </c>
      <c r="C73">
        <f t="shared" si="5"/>
        <v>2050</v>
      </c>
      <c r="D73" s="248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247594.36294776335</v>
      </c>
    </row>
    <row r="74" spans="1:4" x14ac:dyDescent="0.25">
      <c r="A74" t="s">
        <v>54</v>
      </c>
      <c r="B74" t="s">
        <v>25</v>
      </c>
      <c r="C74">
        <f t="shared" si="5"/>
        <v>2050</v>
      </c>
      <c r="D74" s="248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235303.4925381059</v>
      </c>
    </row>
    <row r="75" spans="1:4" x14ac:dyDescent="0.25">
      <c r="A75" t="s">
        <v>55</v>
      </c>
      <c r="B75" t="s">
        <v>25</v>
      </c>
      <c r="C75">
        <f t="shared" si="5"/>
        <v>2050</v>
      </c>
      <c r="D75" s="248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90279.382989087491</v>
      </c>
    </row>
    <row r="76" spans="1:4" x14ac:dyDescent="0.25">
      <c r="A76" t="s">
        <v>56</v>
      </c>
      <c r="B76" t="s">
        <v>25</v>
      </c>
      <c r="C76">
        <f t="shared" si="5"/>
        <v>2050</v>
      </c>
      <c r="D76" s="248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179727.17627336323</v>
      </c>
    </row>
    <row r="77" spans="1:4" x14ac:dyDescent="0.25">
      <c r="A77" t="s">
        <v>116</v>
      </c>
      <c r="B77" t="s">
        <v>25</v>
      </c>
      <c r="C77">
        <f t="shared" si="5"/>
        <v>2050</v>
      </c>
      <c r="D77" s="248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266667.67985232966</v>
      </c>
    </row>
    <row r="78" spans="1:4" x14ac:dyDescent="0.25">
      <c r="A78" t="s">
        <v>57</v>
      </c>
      <c r="B78" t="s">
        <v>25</v>
      </c>
      <c r="C78">
        <f t="shared" si="5"/>
        <v>2050</v>
      </c>
      <c r="D78" s="248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66186.028296006189</v>
      </c>
    </row>
    <row r="79" spans="1:4" x14ac:dyDescent="0.25">
      <c r="A79" t="s">
        <v>97</v>
      </c>
      <c r="B79" t="s">
        <v>25</v>
      </c>
      <c r="C79">
        <f t="shared" si="5"/>
        <v>2050</v>
      </c>
      <c r="D79" s="248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15346.636618106591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3.42578125" bestFit="1" customWidth="1"/>
    <col min="2" max="2" width="17.14062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122</v>
      </c>
      <c r="C5" s="173" t="s">
        <v>121</v>
      </c>
      <c r="D5" s="173" t="s">
        <v>62</v>
      </c>
    </row>
    <row r="6" spans="1:4" x14ac:dyDescent="0.25">
      <c r="A6" s="78">
        <v>2019</v>
      </c>
      <c r="B6" s="250">
        <v>3010238.4923246857</v>
      </c>
      <c r="C6" s="250">
        <v>827693.20492220437</v>
      </c>
      <c r="D6" s="250">
        <v>3837931.69724689</v>
      </c>
    </row>
    <row r="7" spans="1:4" x14ac:dyDescent="0.25">
      <c r="A7" s="78">
        <v>2030</v>
      </c>
      <c r="B7" s="250">
        <v>2848752.9835421797</v>
      </c>
      <c r="C7" s="250">
        <v>783291.25515859458</v>
      </c>
      <c r="D7" s="250">
        <v>3632044.2387007745</v>
      </c>
    </row>
    <row r="8" spans="1:4" x14ac:dyDescent="0.25">
      <c r="A8" s="78">
        <v>2050</v>
      </c>
      <c r="B8" s="250">
        <v>2676705.4543789709</v>
      </c>
      <c r="C8" s="250">
        <v>754480.51999100088</v>
      </c>
      <c r="D8" s="250">
        <v>3431185.974369972</v>
      </c>
    </row>
    <row r="9" spans="1:4" x14ac:dyDescent="0.25">
      <c r="A9" s="78" t="s">
        <v>62</v>
      </c>
      <c r="B9" s="250">
        <v>8535696.9302458353</v>
      </c>
      <c r="C9" s="250">
        <v>2365464.9800717998</v>
      </c>
      <c r="D9" s="250">
        <v>10901161.910317637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3.42578125" bestFit="1" customWidth="1"/>
    <col min="2" max="2" width="17.14062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109</v>
      </c>
      <c r="C5" s="173" t="s">
        <v>101</v>
      </c>
      <c r="D5" s="173" t="s">
        <v>62</v>
      </c>
    </row>
    <row r="6" spans="1:4" x14ac:dyDescent="0.25">
      <c r="A6" s="78">
        <v>2019</v>
      </c>
      <c r="B6" s="250">
        <v>880.1</v>
      </c>
      <c r="C6" s="250">
        <v>76.5</v>
      </c>
      <c r="D6" s="250">
        <v>956.6</v>
      </c>
    </row>
    <row r="7" spans="1:4" x14ac:dyDescent="0.25">
      <c r="A7" s="78">
        <v>2030</v>
      </c>
      <c r="B7" s="250">
        <v>148073.98049444324</v>
      </c>
      <c r="C7" s="250">
        <v>18000</v>
      </c>
      <c r="D7" s="250">
        <v>166073.98049444324</v>
      </c>
    </row>
    <row r="8" spans="1:4" x14ac:dyDescent="0.25">
      <c r="A8" s="78">
        <v>2050</v>
      </c>
      <c r="B8" s="250">
        <v>270457.58448627812</v>
      </c>
      <c r="C8" s="250">
        <v>18000</v>
      </c>
      <c r="D8" s="250">
        <v>288457.58448627812</v>
      </c>
    </row>
    <row r="9" spans="1:4" x14ac:dyDescent="0.25">
      <c r="A9" s="78" t="s">
        <v>62</v>
      </c>
      <c r="B9" s="250">
        <v>419411.66498072137</v>
      </c>
      <c r="C9" s="250">
        <v>36076.5</v>
      </c>
      <c r="D9" s="250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7109375" bestFit="1" customWidth="1"/>
    <col min="7" max="7" width="11.7109375" bestFit="1" customWidth="1"/>
  </cols>
  <sheetData>
    <row r="1" spans="1:7" x14ac:dyDescent="0.25">
      <c r="A1" s="77" t="s">
        <v>65</v>
      </c>
      <c r="B1" s="173" t="s">
        <v>82</v>
      </c>
    </row>
    <row r="3" spans="1:7" x14ac:dyDescent="0.25">
      <c r="A3" s="77" t="s">
        <v>81</v>
      </c>
      <c r="B3" s="77" t="s">
        <v>63</v>
      </c>
    </row>
    <row r="4" spans="1:7" x14ac:dyDescent="0.25">
      <c r="A4" s="77" t="s">
        <v>61</v>
      </c>
      <c r="B4" s="173" t="s">
        <v>11</v>
      </c>
      <c r="C4" s="173" t="s">
        <v>33</v>
      </c>
      <c r="D4" s="173" t="s">
        <v>9</v>
      </c>
      <c r="E4" s="173" t="s">
        <v>34</v>
      </c>
      <c r="F4" s="173" t="s">
        <v>10</v>
      </c>
      <c r="G4" s="173" t="s">
        <v>62</v>
      </c>
    </row>
    <row r="5" spans="1:7" x14ac:dyDescent="0.25">
      <c r="A5" s="78">
        <v>2019</v>
      </c>
      <c r="B5" s="250">
        <v>65860</v>
      </c>
      <c r="C5" s="250">
        <v>591230</v>
      </c>
      <c r="D5" s="250">
        <v>2578370</v>
      </c>
      <c r="E5" s="250">
        <v>472920</v>
      </c>
      <c r="F5" s="250">
        <v>561900</v>
      </c>
      <c r="G5" s="250">
        <v>4270280</v>
      </c>
    </row>
    <row r="6" spans="1:7" x14ac:dyDescent="0.25">
      <c r="A6" s="78">
        <v>2030</v>
      </c>
      <c r="B6" s="250">
        <v>65860</v>
      </c>
      <c r="C6" s="250">
        <v>591230</v>
      </c>
      <c r="D6" s="250">
        <v>1878736</v>
      </c>
      <c r="E6" s="250">
        <v>651654.00000000012</v>
      </c>
      <c r="F6" s="250">
        <v>1082800</v>
      </c>
      <c r="G6" s="250">
        <v>4270280</v>
      </c>
    </row>
    <row r="7" spans="1:7" x14ac:dyDescent="0.25">
      <c r="A7" s="78">
        <v>2050</v>
      </c>
      <c r="B7" s="250">
        <v>65860</v>
      </c>
      <c r="C7" s="250">
        <v>591230</v>
      </c>
      <c r="D7" s="250">
        <v>840736.00000000012</v>
      </c>
      <c r="E7" s="250">
        <v>651654.00000000012</v>
      </c>
      <c r="F7" s="250">
        <v>2120800</v>
      </c>
      <c r="G7" s="250">
        <v>4270280</v>
      </c>
    </row>
    <row r="8" spans="1:7" x14ac:dyDescent="0.25">
      <c r="A8" s="78" t="s">
        <v>62</v>
      </c>
      <c r="B8" s="250">
        <v>197580</v>
      </c>
      <c r="C8" s="250">
        <v>1773690</v>
      </c>
      <c r="D8" s="250">
        <v>5297842</v>
      </c>
      <c r="E8" s="250">
        <v>1776228</v>
      </c>
      <c r="F8" s="250">
        <v>3765500</v>
      </c>
      <c r="G8" s="250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.140625" bestFit="1" customWidth="1"/>
    <col min="5" max="5" width="10.85546875" bestFit="1" customWidth="1"/>
    <col min="6" max="6" width="9.5703125" bestFit="1" customWidth="1"/>
    <col min="7" max="7" width="9.140625" bestFit="1" customWidth="1"/>
    <col min="8" max="8" width="10.7109375" bestFit="1" customWidth="1"/>
    <col min="9" max="11" width="9.140625" bestFit="1" customWidth="1"/>
    <col min="12" max="12" width="8" bestFit="1" customWidth="1"/>
    <col min="13" max="13" width="15.7109375" bestFit="1" customWidth="1"/>
    <col min="14" max="14" width="12" bestFit="1" customWidth="1"/>
    <col min="15" max="15" width="9.140625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7" t="s">
        <v>64</v>
      </c>
      <c r="B1" s="173" t="s">
        <v>82</v>
      </c>
    </row>
    <row r="2" spans="1:16" x14ac:dyDescent="0.25">
      <c r="A2" s="77" t="s">
        <v>65</v>
      </c>
      <c r="B2" s="173" t="s">
        <v>82</v>
      </c>
    </row>
    <row r="4" spans="1:16" x14ac:dyDescent="0.25">
      <c r="A4" s="77" t="s">
        <v>89</v>
      </c>
      <c r="B4" s="77" t="s">
        <v>63</v>
      </c>
    </row>
    <row r="5" spans="1:16" x14ac:dyDescent="0.25">
      <c r="A5" s="77" t="s">
        <v>61</v>
      </c>
      <c r="B5" s="173" t="s">
        <v>50</v>
      </c>
      <c r="C5" s="173" t="s">
        <v>55</v>
      </c>
      <c r="D5" s="173" t="s">
        <v>52</v>
      </c>
      <c r="E5" s="173" t="s">
        <v>6</v>
      </c>
      <c r="F5" s="173" t="s">
        <v>57</v>
      </c>
      <c r="G5" s="173" t="s">
        <v>12</v>
      </c>
      <c r="H5" s="173" t="s">
        <v>49</v>
      </c>
      <c r="I5" s="173" t="s">
        <v>54</v>
      </c>
      <c r="J5" s="173" t="s">
        <v>56</v>
      </c>
      <c r="K5" s="173" t="s">
        <v>51</v>
      </c>
      <c r="L5" s="173" t="s">
        <v>53</v>
      </c>
      <c r="M5" s="173" t="s">
        <v>39</v>
      </c>
      <c r="N5" s="173" t="s">
        <v>97</v>
      </c>
      <c r="O5" s="173" t="s">
        <v>116</v>
      </c>
      <c r="P5" s="173" t="s">
        <v>62</v>
      </c>
    </row>
    <row r="6" spans="1:16" x14ac:dyDescent="0.25">
      <c r="A6" s="78">
        <v>2019</v>
      </c>
      <c r="B6" s="250">
        <v>76853.212866422313</v>
      </c>
      <c r="C6" s="250">
        <v>5114.7808931059071</v>
      </c>
      <c r="D6" s="250">
        <v>288931.41565564787</v>
      </c>
      <c r="E6" s="250">
        <v>12752.078568827996</v>
      </c>
      <c r="F6" s="250">
        <v>18942.69646674622</v>
      </c>
      <c r="G6" s="250">
        <v>55075.520801981496</v>
      </c>
      <c r="H6" s="250">
        <v>1337821.3326830014</v>
      </c>
      <c r="I6" s="250">
        <v>180140.67588310441</v>
      </c>
      <c r="J6" s="250">
        <v>69938.636069140397</v>
      </c>
      <c r="K6" s="250">
        <v>161431.62233269325</v>
      </c>
      <c r="L6" s="250">
        <v>33966.356863719026</v>
      </c>
      <c r="M6" s="250">
        <v>221005.01507630604</v>
      </c>
      <c r="N6" s="250">
        <v>8579.6273865744097</v>
      </c>
      <c r="O6" s="250">
        <v>107817.02845272887</v>
      </c>
      <c r="P6" s="250">
        <v>2578370</v>
      </c>
    </row>
    <row r="7" spans="1:16" x14ac:dyDescent="0.25">
      <c r="A7" s="78">
        <v>2030</v>
      </c>
      <c r="B7" s="250">
        <v>331536.78402541589</v>
      </c>
      <c r="C7" s="250">
        <v>51585.709057995904</v>
      </c>
      <c r="D7" s="250">
        <v>184065.91595960248</v>
      </c>
      <c r="E7" s="250">
        <v>51410.562698571805</v>
      </c>
      <c r="F7" s="250">
        <v>13998.045331604328</v>
      </c>
      <c r="G7" s="250">
        <v>39159.86785277383</v>
      </c>
      <c r="H7" s="250">
        <v>645080.5394918347</v>
      </c>
      <c r="I7" s="250">
        <v>88574.563408726142</v>
      </c>
      <c r="J7" s="250">
        <v>52155.730733299737</v>
      </c>
      <c r="K7" s="250">
        <v>124767.9104014819</v>
      </c>
      <c r="L7" s="250">
        <v>9820.167825206463</v>
      </c>
      <c r="M7" s="250">
        <v>201034.91604420086</v>
      </c>
      <c r="N7" s="250">
        <v>5440.5460703297485</v>
      </c>
      <c r="O7" s="250">
        <v>80104.741098956074</v>
      </c>
      <c r="P7" s="250">
        <v>1878735.9999999995</v>
      </c>
    </row>
    <row r="8" spans="1:16" x14ac:dyDescent="0.25">
      <c r="A8" s="78">
        <v>2050</v>
      </c>
      <c r="B8" s="250">
        <v>201553.54533376094</v>
      </c>
      <c r="C8" s="250">
        <v>35731.162393907623</v>
      </c>
      <c r="D8" s="250">
        <v>44478.668157492881</v>
      </c>
      <c r="E8" s="250">
        <v>40334.374559366952</v>
      </c>
      <c r="F8" s="250">
        <v>5773.72581821124</v>
      </c>
      <c r="G8" s="250">
        <v>13729.370211700088</v>
      </c>
      <c r="H8" s="250">
        <v>283703.87058254774</v>
      </c>
      <c r="I8" s="250">
        <v>23071.514152874326</v>
      </c>
      <c r="J8" s="250">
        <v>22592.014388965817</v>
      </c>
      <c r="K8" s="250">
        <v>59726.851641804838</v>
      </c>
      <c r="L8" s="250">
        <v>6129.8730307745791</v>
      </c>
      <c r="M8" s="250">
        <v>57631.208501439745</v>
      </c>
      <c r="N8" s="250">
        <v>2356.651769164941</v>
      </c>
      <c r="O8" s="250">
        <v>43923.169457988311</v>
      </c>
      <c r="P8" s="250">
        <v>840736</v>
      </c>
    </row>
    <row r="9" spans="1:16" x14ac:dyDescent="0.25">
      <c r="A9" s="78" t="s">
        <v>62</v>
      </c>
      <c r="B9" s="250">
        <v>609943.54222559917</v>
      </c>
      <c r="C9" s="250">
        <v>92431.652345009439</v>
      </c>
      <c r="D9" s="250">
        <v>517475.99977274321</v>
      </c>
      <c r="E9" s="250">
        <v>104497.01582676676</v>
      </c>
      <c r="F9" s="250">
        <v>38714.467616561786</v>
      </c>
      <c r="G9" s="250">
        <v>107964.75886645542</v>
      </c>
      <c r="H9" s="250">
        <v>2266605.7427573837</v>
      </c>
      <c r="I9" s="250">
        <v>291786.75344470493</v>
      </c>
      <c r="J9" s="250">
        <v>144686.38119140596</v>
      </c>
      <c r="K9" s="250">
        <v>345926.38437598001</v>
      </c>
      <c r="L9" s="250">
        <v>49916.397719700071</v>
      </c>
      <c r="M9" s="250">
        <v>479671.13962194661</v>
      </c>
      <c r="N9" s="250">
        <v>16376.825226069099</v>
      </c>
      <c r="O9" s="250">
        <v>231844.93900967328</v>
      </c>
      <c r="P9" s="250">
        <v>5297842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65</v>
      </c>
      <c r="B1" t="s">
        <v>80</v>
      </c>
      <c r="C1" t="s">
        <v>59</v>
      </c>
      <c r="D1" t="s">
        <v>64</v>
      </c>
      <c r="E1" t="s">
        <v>79</v>
      </c>
    </row>
    <row r="2" spans="1:5" x14ac:dyDescent="0.25">
      <c r="A2" t="s">
        <v>28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25">
      <c r="A3" t="s">
        <v>28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25">
      <c r="A4" t="s">
        <v>28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25">
      <c r="A5" t="s">
        <v>28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25">
      <c r="A6" t="s">
        <v>28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25">
      <c r="A7" t="s">
        <v>28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25">
      <c r="A8" t="s">
        <v>28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25">
      <c r="A9" t="s">
        <v>28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25">
      <c r="A10" t="s">
        <v>28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25">
      <c r="A11" t="s">
        <v>28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25">
      <c r="A12" t="s">
        <v>28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25">
      <c r="A13" t="s">
        <v>28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25">
      <c r="A14" t="s">
        <v>28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25">
      <c r="A15" t="s">
        <v>28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25">
      <c r="A16" t="s">
        <v>28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25">
      <c r="A17" t="s">
        <v>28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25">
      <c r="A18" t="s">
        <v>28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1377245.6112004309</v>
      </c>
    </row>
    <row r="19" spans="1:5" x14ac:dyDescent="0.25">
      <c r="A19" t="s">
        <v>28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904889.98662971705</v>
      </c>
    </row>
    <row r="20" spans="1:5" x14ac:dyDescent="0.25">
      <c r="A20" t="s">
        <v>28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25">
      <c r="A21" t="s">
        <v>28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25">
      <c r="A22" t="s">
        <v>28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25">
      <c r="A23" t="s">
        <v>28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0</v>
      </c>
    </row>
    <row r="24" spans="1:5" x14ac:dyDescent="0.25">
      <c r="A24" t="s">
        <v>28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25">
      <c r="A25" t="s">
        <v>28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146238.5061125248</v>
      </c>
    </row>
    <row r="26" spans="1:5" x14ac:dyDescent="0.25">
      <c r="A26" t="s">
        <v>28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25">
      <c r="A27" t="s">
        <v>28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25">
      <c r="A28" t="s">
        <v>28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0</v>
      </c>
    </row>
    <row r="29" spans="1:5" x14ac:dyDescent="0.25">
      <c r="A29" t="s">
        <v>28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25">
      <c r="A30" t="s">
        <v>28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116449.18079330676</v>
      </c>
    </row>
    <row r="31" spans="1:5" x14ac:dyDescent="0.25">
      <c r="A31" t="s">
        <v>28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25">
      <c r="A32" t="s">
        <v>28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25">
      <c r="A33" t="s">
        <v>28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440235.92388684605</v>
      </c>
    </row>
    <row r="34" spans="1:5" x14ac:dyDescent="0.25">
      <c r="A34" t="s">
        <v>28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1841899.6739433019</v>
      </c>
    </row>
    <row r="35" spans="1:5" x14ac:dyDescent="0.25">
      <c r="A35" t="s">
        <v>28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25">
      <c r="A36" t="s">
        <v>28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25">
      <c r="A37" t="s">
        <v>28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25">
      <c r="A38" t="s">
        <v>28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0</v>
      </c>
    </row>
    <row r="39" spans="1:5" x14ac:dyDescent="0.25">
      <c r="A39" t="s">
        <v>28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25">
      <c r="A40" t="s">
        <v>28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146238.5061125248</v>
      </c>
    </row>
    <row r="41" spans="1:5" x14ac:dyDescent="0.25">
      <c r="A41" t="s">
        <v>28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25">
      <c r="A42" t="s">
        <v>28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25">
      <c r="A43" t="s">
        <v>28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0</v>
      </c>
    </row>
    <row r="44" spans="1:5" x14ac:dyDescent="0.25">
      <c r="A44" t="s">
        <v>28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25">
      <c r="A45" t="s">
        <v>28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116449.18079330676</v>
      </c>
    </row>
    <row r="46" spans="1:5" x14ac:dyDescent="0.25">
      <c r="A46" t="s">
        <v>28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25">
      <c r="A47" t="s">
        <v>29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25">
      <c r="A48" t="s">
        <v>29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25">
      <c r="A49" t="s">
        <v>29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25">
      <c r="A50" t="s">
        <v>29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25">
      <c r="A51" t="s">
        <v>29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25">
      <c r="A52" t="s">
        <v>29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25">
      <c r="A53" t="s">
        <v>29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25">
      <c r="A54" t="s">
        <v>29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25">
      <c r="A55" t="s">
        <v>29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25">
      <c r="A56" t="s">
        <v>29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25">
      <c r="A57" t="s">
        <v>29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25">
      <c r="A58" t="s">
        <v>29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25">
      <c r="A59" t="s">
        <v>29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25">
      <c r="A60" t="s">
        <v>29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25">
      <c r="A61" t="s">
        <v>29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25">
      <c r="A62" t="s">
        <v>29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25">
      <c r="A63" t="s">
        <v>29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501490.3887995691</v>
      </c>
    </row>
    <row r="64" spans="1:5" x14ac:dyDescent="0.25">
      <c r="A64" t="s">
        <v>29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177910.01337028283</v>
      </c>
    </row>
    <row r="65" spans="1:5" x14ac:dyDescent="0.25">
      <c r="A65" t="s">
        <v>29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25">
      <c r="A66" t="s">
        <v>29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25">
      <c r="A67" t="s">
        <v>29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25">
      <c r="A68" t="s">
        <v>29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0</v>
      </c>
    </row>
    <row r="69" spans="1:5" x14ac:dyDescent="0.25">
      <c r="A69" t="s">
        <v>29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25">
      <c r="A70" t="s">
        <v>29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15761.493887475173</v>
      </c>
    </row>
    <row r="71" spans="1:5" x14ac:dyDescent="0.25">
      <c r="A71" t="s">
        <v>29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25">
      <c r="A72" t="s">
        <v>29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25">
      <c r="A73" t="s">
        <v>29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0</v>
      </c>
    </row>
    <row r="74" spans="1:5" x14ac:dyDescent="0.25">
      <c r="A74" t="s">
        <v>29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25">
      <c r="A75" t="s">
        <v>29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12550.819206693192</v>
      </c>
    </row>
    <row r="76" spans="1:5" x14ac:dyDescent="0.25">
      <c r="A76" t="s">
        <v>29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25">
      <c r="A77" t="s">
        <v>29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25">
      <c r="A78" t="s">
        <v>29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400500.07611315406</v>
      </c>
    </row>
    <row r="79" spans="1:5" x14ac:dyDescent="0.25">
      <c r="A79" t="s">
        <v>29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278900.32605669787</v>
      </c>
    </row>
    <row r="80" spans="1:5" x14ac:dyDescent="0.25">
      <c r="A80" t="s">
        <v>29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25">
      <c r="A81" t="s">
        <v>29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25">
      <c r="A82" t="s">
        <v>29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25">
      <c r="A83" t="s">
        <v>29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0</v>
      </c>
    </row>
    <row r="84" spans="1:5" x14ac:dyDescent="0.25">
      <c r="A84" t="s">
        <v>29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25">
      <c r="A85" t="s">
        <v>29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15761.493887475173</v>
      </c>
    </row>
    <row r="86" spans="1:5" x14ac:dyDescent="0.25">
      <c r="A86" t="s">
        <v>29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25">
      <c r="A87" t="s">
        <v>29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25">
      <c r="A88" t="s">
        <v>29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0</v>
      </c>
    </row>
    <row r="89" spans="1:5" x14ac:dyDescent="0.25">
      <c r="A89" t="s">
        <v>29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25">
      <c r="A90" t="s">
        <v>29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12550.819206693192</v>
      </c>
    </row>
    <row r="91" spans="1:5" x14ac:dyDescent="0.25">
      <c r="A91" t="s">
        <v>29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65</v>
      </c>
      <c r="B1" t="s">
        <v>58</v>
      </c>
      <c r="C1" t="s">
        <v>59</v>
      </c>
      <c r="D1" t="s">
        <v>60</v>
      </c>
      <c r="E1" t="s">
        <v>64</v>
      </c>
      <c r="F1" t="s">
        <v>91</v>
      </c>
      <c r="G1" t="s">
        <v>87</v>
      </c>
      <c r="H1" t="s">
        <v>88</v>
      </c>
      <c r="I1" t="s">
        <v>74</v>
      </c>
      <c r="J1" t="s">
        <v>90</v>
      </c>
      <c r="L1" t="s">
        <v>65</v>
      </c>
      <c r="M1" t="s">
        <v>84</v>
      </c>
      <c r="N1" t="s">
        <v>59</v>
      </c>
      <c r="O1" t="s">
        <v>83</v>
      </c>
      <c r="P1" t="s">
        <v>79</v>
      </c>
    </row>
    <row r="2" spans="1:16" x14ac:dyDescent="0.25">
      <c r="A2" t="s">
        <v>24</v>
      </c>
      <c r="B2" s="1" t="str">
        <f>[1]Afgrødefordeling!$C$2</f>
        <v>Korn</v>
      </c>
      <c r="C2">
        <v>2019</v>
      </c>
      <c r="D2" t="s">
        <v>7</v>
      </c>
      <c r="E2" s="173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24</v>
      </c>
      <c r="M2" t="s">
        <v>23</v>
      </c>
      <c r="N2">
        <v>2019</v>
      </c>
      <c r="O2" t="s">
        <v>7</v>
      </c>
      <c r="P2" s="76">
        <f>'Landbrugsareal - resultat'!C23</f>
        <v>10266966</v>
      </c>
    </row>
    <row r="3" spans="1:16" x14ac:dyDescent="0.25">
      <c r="A3" t="s">
        <v>24</v>
      </c>
      <c r="B3" s="1" t="str">
        <f>[1]Afgrødefordeling!$C$3</f>
        <v>Bælgsæd</v>
      </c>
      <c r="C3">
        <v>2019</v>
      </c>
      <c r="D3" t="s">
        <v>7</v>
      </c>
      <c r="E3" s="173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3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3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24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25">
      <c r="A4" t="s">
        <v>24</v>
      </c>
      <c r="B4" s="1" t="str">
        <f>[1]Afgrødefordeling!$C$4</f>
        <v>Raps</v>
      </c>
      <c r="C4">
        <v>2019</v>
      </c>
      <c r="D4" t="s">
        <v>7</v>
      </c>
      <c r="E4" s="173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3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3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24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25">
      <c r="A5" t="s">
        <v>24</v>
      </c>
      <c r="B5" s="1" t="str">
        <f>[1]Afgrødefordeling!$C$5</f>
        <v>Græs</v>
      </c>
      <c r="C5">
        <v>2019</v>
      </c>
      <c r="D5" t="s">
        <v>7</v>
      </c>
      <c r="E5" s="173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3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3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24</v>
      </c>
      <c r="M5" t="s">
        <v>23</v>
      </c>
      <c r="N5">
        <v>2030</v>
      </c>
      <c r="O5" t="s">
        <v>7</v>
      </c>
      <c r="P5" s="76">
        <f>'Landbrugsareal - resultat'!D23</f>
        <v>3080129.8315355</v>
      </c>
    </row>
    <row r="6" spans="1:16" x14ac:dyDescent="0.25">
      <c r="A6" t="s">
        <v>24</v>
      </c>
      <c r="B6" s="1" t="str">
        <f>[1]Afgrødefordeling!$C$6</f>
        <v>Grøntsager</v>
      </c>
      <c r="C6">
        <v>2019</v>
      </c>
      <c r="D6" t="s">
        <v>7</v>
      </c>
      <c r="E6" s="173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3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3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24</v>
      </c>
      <c r="M6" t="s">
        <v>3</v>
      </c>
      <c r="N6">
        <v>2030</v>
      </c>
      <c r="O6" t="s">
        <v>7</v>
      </c>
      <c r="P6" s="76">
        <f>'Landbrugsareal - resultat'!D24</f>
        <v>322314.87160400534</v>
      </c>
    </row>
    <row r="7" spans="1:16" x14ac:dyDescent="0.25">
      <c r="A7" t="s">
        <v>24</v>
      </c>
      <c r="B7" s="1" t="str">
        <f>[1]Afgrødefordeling!$C$7</f>
        <v>Kartofler</v>
      </c>
      <c r="C7">
        <v>2019</v>
      </c>
      <c r="D7" t="s">
        <v>7</v>
      </c>
      <c r="E7" s="173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3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3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24</v>
      </c>
      <c r="M7" t="s">
        <v>4</v>
      </c>
      <c r="N7">
        <v>2030</v>
      </c>
      <c r="O7" t="s">
        <v>7</v>
      </c>
      <c r="P7" s="76">
        <f>'Landbrugsareal - resultat'!D25</f>
        <v>5012718.1414474156</v>
      </c>
    </row>
    <row r="8" spans="1:16" x14ac:dyDescent="0.25">
      <c r="A8" t="s">
        <v>24</v>
      </c>
      <c r="B8" s="1" t="str">
        <f>[1]Afgrødefordeling!$C$8</f>
        <v>Roer</v>
      </c>
      <c r="C8">
        <v>2019</v>
      </c>
      <c r="D8" t="s">
        <v>7</v>
      </c>
      <c r="E8" s="173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3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3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24</v>
      </c>
      <c r="M8" t="s">
        <v>23</v>
      </c>
      <c r="N8">
        <v>2050</v>
      </c>
      <c r="O8" t="s">
        <v>7</v>
      </c>
      <c r="P8" s="76">
        <f>'Landbrugsareal - resultat'!E23</f>
        <v>78903.816307100002</v>
      </c>
    </row>
    <row r="9" spans="1:16" x14ac:dyDescent="0.25">
      <c r="A9" t="s">
        <v>24</v>
      </c>
      <c r="B9" s="1" t="str">
        <f>[1]Afgrødefordeling!$C$9</f>
        <v>Majs</v>
      </c>
      <c r="C9">
        <v>2019</v>
      </c>
      <c r="D9" t="s">
        <v>7</v>
      </c>
      <c r="E9" s="173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3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3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24</v>
      </c>
      <c r="M9" t="s">
        <v>3</v>
      </c>
      <c r="N9">
        <v>2050</v>
      </c>
      <c r="O9" t="s">
        <v>7</v>
      </c>
      <c r="P9" s="76">
        <f>'Landbrugsareal - resultat'!E24</f>
        <v>-5160.2256791989348</v>
      </c>
    </row>
    <row r="10" spans="1:16" x14ac:dyDescent="0.25">
      <c r="A10" t="s">
        <v>24</v>
      </c>
      <c r="B10" s="1" t="str">
        <f>[1]Afgrødefordeling!$C$10</f>
        <v>Frugt</v>
      </c>
      <c r="C10">
        <v>2019</v>
      </c>
      <c r="D10" t="s">
        <v>7</v>
      </c>
      <c r="E10" s="173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3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3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24</v>
      </c>
      <c r="M10" t="s">
        <v>4</v>
      </c>
      <c r="N10">
        <v>2050</v>
      </c>
      <c r="O10" t="s">
        <v>7</v>
      </c>
      <c r="P10" s="76">
        <f>'Landbrugsareal - resultat'!E25</f>
        <v>-61173.071710517135</v>
      </c>
    </row>
    <row r="11" spans="1:16" x14ac:dyDescent="0.25">
      <c r="A11" t="s">
        <v>24</v>
      </c>
      <c r="B11" s="1" t="str">
        <f>[1]Afgrødefordeling!$C$11</f>
        <v>Øvrige</v>
      </c>
      <c r="C11">
        <v>2019</v>
      </c>
      <c r="D11" t="s">
        <v>7</v>
      </c>
      <c r="E11" s="173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3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3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24</v>
      </c>
      <c r="M11" t="s">
        <v>23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25">
      <c r="A12" t="s">
        <v>24</v>
      </c>
      <c r="B12" s="1" t="str">
        <f>[1]Afgrødefordeling!$C$12</f>
        <v>Frø</v>
      </c>
      <c r="C12">
        <v>2019</v>
      </c>
      <c r="D12" t="s">
        <v>7</v>
      </c>
      <c r="E12" s="173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3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3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24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25">
      <c r="A13" t="s">
        <v>24</v>
      </c>
      <c r="B13" s="1" t="str">
        <f>[1]Afgrødefordeling!$C$13</f>
        <v>Juletræer</v>
      </c>
      <c r="C13">
        <v>2019</v>
      </c>
      <c r="D13" t="s">
        <v>7</v>
      </c>
      <c r="E13" s="173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3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3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24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25">
      <c r="A14" t="s">
        <v>24</v>
      </c>
      <c r="B14" s="1" t="str">
        <f>[1]Afgrødefordeling!$C$14</f>
        <v>Pil &amp; poppel</v>
      </c>
      <c r="C14">
        <v>2019</v>
      </c>
      <c r="D14" t="s">
        <v>7</v>
      </c>
      <c r="E14" s="173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3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3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24</v>
      </c>
      <c r="M14" t="s">
        <v>23</v>
      </c>
      <c r="N14">
        <v>2030</v>
      </c>
      <c r="O14" t="s">
        <v>8</v>
      </c>
      <c r="P14" s="76">
        <f>'Landbrugsareal - resultat'!G23</f>
        <v>2291091.6684645</v>
      </c>
    </row>
    <row r="15" spans="1:16" x14ac:dyDescent="0.25">
      <c r="A15" t="s">
        <v>24</v>
      </c>
      <c r="B15" s="1" t="str">
        <f>[1]Afgrødefordeling!$C$15</f>
        <v>Permanent græs</v>
      </c>
      <c r="C15">
        <v>2019</v>
      </c>
      <c r="D15" t="s">
        <v>7</v>
      </c>
      <c r="E15" s="173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3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3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24</v>
      </c>
      <c r="M15" t="s">
        <v>3</v>
      </c>
      <c r="N15">
        <v>2030</v>
      </c>
      <c r="O15" t="s">
        <v>8</v>
      </c>
      <c r="P15" s="76">
        <f>'Landbrugsareal - resultat'!G24</f>
        <v>373917.12839599466</v>
      </c>
    </row>
    <row r="16" spans="1:16" x14ac:dyDescent="0.25">
      <c r="A16" t="s">
        <v>24</v>
      </c>
      <c r="B16" s="1" t="str">
        <f>[1]Afgrødefordeling!$C$2</f>
        <v>Korn</v>
      </c>
      <c r="C16">
        <v>2030</v>
      </c>
      <c r="D16" t="s">
        <v>7</v>
      </c>
      <c r="E16" s="173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172698.38963314588</v>
      </c>
      <c r="H16" s="173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1210615.7113283526</v>
      </c>
      <c r="I16" s="173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392844.7983260504</v>
      </c>
      <c r="J16" s="76">
        <f t="shared" si="2"/>
        <v>392844.7983260504</v>
      </c>
      <c r="L16" t="s">
        <v>24</v>
      </c>
      <c r="M16" t="s">
        <v>4</v>
      </c>
      <c r="N16">
        <v>2030</v>
      </c>
      <c r="O16" t="s">
        <v>8</v>
      </c>
      <c r="P16" s="76">
        <f>'Landbrugsareal - resultat'!G25</f>
        <v>5624448.8585525844</v>
      </c>
    </row>
    <row r="17" spans="1:16" x14ac:dyDescent="0.25">
      <c r="A17" t="s">
        <v>24</v>
      </c>
      <c r="B17" s="1" t="str">
        <f>[1]Afgrødefordeling!$C$3</f>
        <v>Bælgsæd</v>
      </c>
      <c r="C17">
        <v>2030</v>
      </c>
      <c r="D17" t="s">
        <v>7</v>
      </c>
      <c r="E17" s="173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162502.61268805928</v>
      </c>
      <c r="H17" s="173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627260.08497590886</v>
      </c>
      <c r="I17" s="173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185137.60160937905</v>
      </c>
      <c r="J17" s="76">
        <f t="shared" si="2"/>
        <v>185137.60160937905</v>
      </c>
      <c r="L17" t="s">
        <v>24</v>
      </c>
      <c r="M17" t="s">
        <v>23</v>
      </c>
      <c r="N17">
        <v>2050</v>
      </c>
      <c r="O17" t="s">
        <v>8</v>
      </c>
      <c r="P17" s="76">
        <f>'Landbrugsareal - resultat'!H23</f>
        <v>995340.48369290004</v>
      </c>
    </row>
    <row r="18" spans="1:16" x14ac:dyDescent="0.25">
      <c r="A18" t="s">
        <v>24</v>
      </c>
      <c r="B18" s="1" t="str">
        <f>[1]Afgrødefordeling!$C$4</f>
        <v>Raps</v>
      </c>
      <c r="C18">
        <v>2030</v>
      </c>
      <c r="D18" t="s">
        <v>7</v>
      </c>
      <c r="E18" s="173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41667.79106598362</v>
      </c>
      <c r="H18" s="173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183338.28069032796</v>
      </c>
      <c r="I18" s="173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97352.627046564128</v>
      </c>
      <c r="J18" s="76">
        <f t="shared" si="2"/>
        <v>97352.627046564128</v>
      </c>
      <c r="L18" t="s">
        <v>24</v>
      </c>
      <c r="M18" t="s">
        <v>3</v>
      </c>
      <c r="N18">
        <v>2050</v>
      </c>
      <c r="O18" t="s">
        <v>8</v>
      </c>
      <c r="P18" s="76">
        <f>'Landbrugsareal - resultat'!H24</f>
        <v>144406.62567919894</v>
      </c>
    </row>
    <row r="19" spans="1:16" x14ac:dyDescent="0.25">
      <c r="A19" t="s">
        <v>24</v>
      </c>
      <c r="B19" s="1" t="str">
        <f>[1]Afgrødefordeling!$C$5</f>
        <v>Græs</v>
      </c>
      <c r="C19">
        <v>2030</v>
      </c>
      <c r="D19" t="s">
        <v>7</v>
      </c>
      <c r="E19" s="173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79447.372407112256</v>
      </c>
      <c r="H19" s="173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3942178.61884091</v>
      </c>
      <c r="I19" s="173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3942178.61884091</v>
      </c>
      <c r="L19" t="s">
        <v>24</v>
      </c>
      <c r="M19" t="s">
        <v>4</v>
      </c>
      <c r="N19">
        <v>2050</v>
      </c>
      <c r="O19" t="s">
        <v>8</v>
      </c>
      <c r="P19" s="76">
        <f>'Landbrugsareal - resultat'!H25</f>
        <v>2188606.4717105171</v>
      </c>
    </row>
    <row r="20" spans="1:16" x14ac:dyDescent="0.25">
      <c r="A20" t="s">
        <v>24</v>
      </c>
      <c r="B20" s="1" t="str">
        <f>[1]Afgrødefordeling!$C$6</f>
        <v>Grøntsager</v>
      </c>
      <c r="C20">
        <v>2030</v>
      </c>
      <c r="D20" t="s">
        <v>7</v>
      </c>
      <c r="E20" s="173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23733.116798028695</v>
      </c>
      <c r="H20" s="173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492462.17355909548</v>
      </c>
      <c r="I20" s="173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492462.17355909548</v>
      </c>
      <c r="L20" t="s">
        <v>25</v>
      </c>
      <c r="M20" t="s">
        <v>23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25">
      <c r="A21" t="s">
        <v>24</v>
      </c>
      <c r="B21" s="1" t="str">
        <f>[1]Afgrødefordeling!$C$7</f>
        <v>Kartofler</v>
      </c>
      <c r="C21">
        <v>2030</v>
      </c>
      <c r="D21" t="s">
        <v>7</v>
      </c>
      <c r="E21" s="173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18314.785524866154</v>
      </c>
      <c r="H21" s="173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777845.41485767532</v>
      </c>
      <c r="I21" s="173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777845.41485767532</v>
      </c>
      <c r="L21" t="s">
        <v>25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25">
      <c r="A22" t="s">
        <v>24</v>
      </c>
      <c r="B22" s="1" t="str">
        <f>[1]Afgrødefordeling!$C$8</f>
        <v>Roer</v>
      </c>
      <c r="C22">
        <v>2030</v>
      </c>
      <c r="D22" t="s">
        <v>7</v>
      </c>
      <c r="E22" s="173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1787.9048045348884</v>
      </c>
      <c r="H22" s="173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145273.93665504374</v>
      </c>
      <c r="I22" s="173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145273.93665504374</v>
      </c>
      <c r="L22" t="s">
        <v>25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25">
      <c r="A23" t="s">
        <v>24</v>
      </c>
      <c r="B23" s="1" t="str">
        <f>[1]Afgrødefordeling!$C$9</f>
        <v>Majs</v>
      </c>
      <c r="C23">
        <v>2030</v>
      </c>
      <c r="D23" t="s">
        <v>7</v>
      </c>
      <c r="E23" s="173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40567.410384497816</v>
      </c>
      <c r="H23" s="173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1805655.4362139979</v>
      </c>
      <c r="I23" s="173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1805655.4362139979</v>
      </c>
      <c r="L23" t="s">
        <v>25</v>
      </c>
      <c r="M23" t="s">
        <v>23</v>
      </c>
      <c r="N23">
        <v>2030</v>
      </c>
      <c r="O23" t="s">
        <v>7</v>
      </c>
      <c r="P23" s="76">
        <f>'Landbrugsareal - resultat'!D50</f>
        <v>1391478.7514832765</v>
      </c>
    </row>
    <row r="24" spans="1:16" x14ac:dyDescent="0.25">
      <c r="A24" t="s">
        <v>24</v>
      </c>
      <c r="B24" s="1" t="str">
        <f>[1]Afgrødefordeling!$C$10</f>
        <v>Frugt</v>
      </c>
      <c r="C24">
        <v>2030</v>
      </c>
      <c r="D24" t="s">
        <v>7</v>
      </c>
      <c r="E24" s="173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14897.502511358665</v>
      </c>
      <c r="H24" s="173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126479.79632143509</v>
      </c>
      <c r="I24" s="173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126479.79632143509</v>
      </c>
      <c r="L24" t="s">
        <v>25</v>
      </c>
      <c r="M24" t="s">
        <v>3</v>
      </c>
      <c r="N24">
        <v>2030</v>
      </c>
      <c r="O24" t="s">
        <v>7</v>
      </c>
      <c r="P24" s="76">
        <f>'Landbrugsareal - resultat'!D51</f>
        <v>40011.917879903303</v>
      </c>
    </row>
    <row r="25" spans="1:16" x14ac:dyDescent="0.25">
      <c r="A25" t="s">
        <v>24</v>
      </c>
      <c r="B25" s="1" t="str">
        <f>[1]Afgrødefordeling!$C$11</f>
        <v>Øvrige</v>
      </c>
      <c r="C25">
        <v>2030</v>
      </c>
      <c r="D25" t="s">
        <v>7</v>
      </c>
      <c r="E25" s="173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19897.459682199926</v>
      </c>
      <c r="H25" s="173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592863.58464724361</v>
      </c>
      <c r="I25" s="173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592863.58464724361</v>
      </c>
      <c r="L25" t="s">
        <v>25</v>
      </c>
      <c r="M25" t="s">
        <v>4</v>
      </c>
      <c r="N25">
        <v>2030</v>
      </c>
      <c r="O25" t="s">
        <v>7</v>
      </c>
      <c r="P25" s="76">
        <f>'Landbrugsareal - resultat'!D52</f>
        <v>985696.57366912137</v>
      </c>
    </row>
    <row r="26" spans="1:16" x14ac:dyDescent="0.25">
      <c r="A26" t="s">
        <v>24</v>
      </c>
      <c r="B26" s="1" t="str">
        <f>[1]Afgrødefordeling!$C$12</f>
        <v>Frø</v>
      </c>
      <c r="C26">
        <v>2030</v>
      </c>
      <c r="D26" t="s">
        <v>7</v>
      </c>
      <c r="E26" s="173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20930.3776507398</v>
      </c>
      <c r="H26" s="173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299071.25189503928</v>
      </c>
      <c r="I26" s="173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49395.691255745929</v>
      </c>
      <c r="J26" s="76">
        <f t="shared" si="2"/>
        <v>49395.691255745929</v>
      </c>
      <c r="L26" t="s">
        <v>25</v>
      </c>
      <c r="M26" t="s">
        <v>23</v>
      </c>
      <c r="N26">
        <v>2050</v>
      </c>
      <c r="O26" t="s">
        <v>7</v>
      </c>
      <c r="P26" s="76">
        <f>'Landbrugsareal - resultat'!E50</f>
        <v>1197983.9035801385</v>
      </c>
    </row>
    <row r="27" spans="1:16" x14ac:dyDescent="0.25">
      <c r="A27" t="s">
        <v>24</v>
      </c>
      <c r="B27" s="1" t="str">
        <f>[1]Afgrødefordeling!$C$13</f>
        <v>Juletræer</v>
      </c>
      <c r="C27">
        <v>2030</v>
      </c>
      <c r="D27" t="s">
        <v>7</v>
      </c>
      <c r="E27" s="173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5642.7197646373925</v>
      </c>
      <c r="H27" s="173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282135.98823186959</v>
      </c>
      <c r="I27" s="173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282135.98823186959</v>
      </c>
      <c r="L27" t="s">
        <v>25</v>
      </c>
      <c r="M27" t="s">
        <v>3</v>
      </c>
      <c r="N27">
        <v>2050</v>
      </c>
      <c r="O27" t="s">
        <v>7</v>
      </c>
      <c r="P27" s="76">
        <f>'Landbrugsareal - resultat'!E51</f>
        <v>-14876.061099182771</v>
      </c>
    </row>
    <row r="28" spans="1:16" x14ac:dyDescent="0.25">
      <c r="A28" t="s">
        <v>24</v>
      </c>
      <c r="B28" s="1" t="str">
        <f>[1]Afgrødefordeling!$C$14</f>
        <v>Pil &amp; poppel</v>
      </c>
      <c r="C28">
        <v>2030</v>
      </c>
      <c r="D28" t="s">
        <v>7</v>
      </c>
      <c r="E28" s="173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2075.5733753802315</v>
      </c>
      <c r="H28" s="173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50623.740862932478</v>
      </c>
      <c r="I28" s="173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50623.740862932478</v>
      </c>
      <c r="L28" t="s">
        <v>25</v>
      </c>
      <c r="M28" t="s">
        <v>4</v>
      </c>
      <c r="N28">
        <v>2050</v>
      </c>
      <c r="O28" t="s">
        <v>7</v>
      </c>
      <c r="P28" s="76">
        <f>'Landbrugsareal - resultat'!E52</f>
        <v>229343.12696961034</v>
      </c>
    </row>
    <row r="29" spans="1:16" x14ac:dyDescent="0.25">
      <c r="A29" t="s">
        <v>24</v>
      </c>
      <c r="B29" s="1" t="str">
        <f>[1]Afgrødefordeling!$C$15</f>
        <v>Permanent græs</v>
      </c>
      <c r="C29">
        <v>2030</v>
      </c>
      <c r="D29" t="s">
        <v>7</v>
      </c>
      <c r="E29" s="173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84459.789309670814</v>
      </c>
      <c r="H29" s="173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1164700.4945803606</v>
      </c>
      <c r="I29" s="173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1164700.4945803606</v>
      </c>
      <c r="L29" t="s">
        <v>25</v>
      </c>
      <c r="M29" t="s">
        <v>23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25">
      <c r="A30" t="s">
        <v>24</v>
      </c>
      <c r="B30" s="1" t="str">
        <f>[1]Afgrødefordeling!$C$2</f>
        <v>Korn</v>
      </c>
      <c r="C30">
        <v>2050</v>
      </c>
      <c r="D30" t="s">
        <v>7</v>
      </c>
      <c r="E30" s="173" t="str">
        <f t="shared" si="0"/>
        <v>JB1-10</v>
      </c>
      <c r="F30" t="str">
        <f t="shared" si="1"/>
        <v>Korn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0</v>
      </c>
      <c r="H30" s="173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0</v>
      </c>
      <c r="I30" s="173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0</v>
      </c>
      <c r="J30" s="76">
        <f t="shared" si="2"/>
        <v>0</v>
      </c>
      <c r="L30" t="s">
        <v>25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25">
      <c r="A31" t="s">
        <v>24</v>
      </c>
      <c r="B31" s="1" t="str">
        <f>[1]Afgrødefordeling!$C$3</f>
        <v>Bælgsæd</v>
      </c>
      <c r="C31">
        <v>2050</v>
      </c>
      <c r="D31" t="s">
        <v>7</v>
      </c>
      <c r="E31" s="173" t="str">
        <f t="shared" si="0"/>
        <v>JB1-10</v>
      </c>
      <c r="F31" t="str">
        <f t="shared" si="1"/>
        <v>Bælgsæd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0</v>
      </c>
      <c r="H31" s="173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0</v>
      </c>
      <c r="I31" s="173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0</v>
      </c>
      <c r="J31" s="76">
        <f t="shared" si="2"/>
        <v>0</v>
      </c>
      <c r="L31" t="s">
        <v>25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25">
      <c r="A32" t="s">
        <v>24</v>
      </c>
      <c r="B32" s="1" t="str">
        <f>[1]Afgrødefordeling!$C$4</f>
        <v>Raps</v>
      </c>
      <c r="C32">
        <v>2050</v>
      </c>
      <c r="D32" t="s">
        <v>7</v>
      </c>
      <c r="E32" s="173" t="str">
        <f t="shared" si="0"/>
        <v>JB1-10</v>
      </c>
      <c r="F32" t="str">
        <f t="shared" si="1"/>
        <v>Raps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0</v>
      </c>
      <c r="H32" s="173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0</v>
      </c>
      <c r="I32" s="173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0</v>
      </c>
      <c r="J32" s="76">
        <f t="shared" si="2"/>
        <v>0</v>
      </c>
      <c r="L32" t="s">
        <v>25</v>
      </c>
      <c r="M32" t="s">
        <v>23</v>
      </c>
      <c r="N32">
        <v>2030</v>
      </c>
      <c r="O32" t="s">
        <v>8</v>
      </c>
      <c r="P32" s="76">
        <f>'Landbrugsareal - resultat'!G50</f>
        <v>165070.24851672363</v>
      </c>
    </row>
    <row r="33" spans="1:16" x14ac:dyDescent="0.25">
      <c r="A33" t="s">
        <v>24</v>
      </c>
      <c r="B33" s="1" t="str">
        <f>[1]Afgrødefordeling!$C$5</f>
        <v>Græs</v>
      </c>
      <c r="C33">
        <v>2050</v>
      </c>
      <c r="D33" t="s">
        <v>7</v>
      </c>
      <c r="E33" s="173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0</v>
      </c>
      <c r="H33" s="173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0</v>
      </c>
      <c r="I33" s="173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0</v>
      </c>
      <c r="L33" t="s">
        <v>25</v>
      </c>
      <c r="M33" t="s">
        <v>3</v>
      </c>
      <c r="N33">
        <v>2030</v>
      </c>
      <c r="O33" t="s">
        <v>8</v>
      </c>
      <c r="P33" s="76">
        <f>'Landbrugsareal - resultat'!G51</f>
        <v>58956.082120096697</v>
      </c>
    </row>
    <row r="34" spans="1:16" x14ac:dyDescent="0.25">
      <c r="A34" t="s">
        <v>24</v>
      </c>
      <c r="B34" s="1" t="str">
        <f>[1]Afgrødefordeling!$C$6</f>
        <v>Grøntsager</v>
      </c>
      <c r="C34">
        <v>2050</v>
      </c>
      <c r="D34" t="s">
        <v>7</v>
      </c>
      <c r="E34" s="173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0</v>
      </c>
      <c r="H34" s="173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0</v>
      </c>
      <c r="I34" s="173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0</v>
      </c>
      <c r="L34" t="s">
        <v>25</v>
      </c>
      <c r="M34" t="s">
        <v>4</v>
      </c>
      <c r="N34">
        <v>2030</v>
      </c>
      <c r="O34" t="s">
        <v>8</v>
      </c>
      <c r="P34" s="76">
        <f>'Landbrugsareal - resultat'!G52</f>
        <v>799850.42633087863</v>
      </c>
    </row>
    <row r="35" spans="1:16" x14ac:dyDescent="0.25">
      <c r="A35" t="s">
        <v>24</v>
      </c>
      <c r="B35" s="1" t="str">
        <f>[1]Afgrødefordeling!$C$7</f>
        <v>Kartofler</v>
      </c>
      <c r="C35">
        <v>2050</v>
      </c>
      <c r="D35" t="s">
        <v>7</v>
      </c>
      <c r="E35" s="173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0</v>
      </c>
      <c r="H35" s="173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0</v>
      </c>
      <c r="I35" s="173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0</v>
      </c>
      <c r="L35" t="s">
        <v>25</v>
      </c>
      <c r="M35" t="s">
        <v>23</v>
      </c>
      <c r="N35">
        <v>2050</v>
      </c>
      <c r="O35" t="s">
        <v>8</v>
      </c>
      <c r="P35" s="76">
        <f>'Landbrugsareal - resultat'!H50</f>
        <v>358565.09641986142</v>
      </c>
    </row>
    <row r="36" spans="1:16" x14ac:dyDescent="0.25">
      <c r="A36" t="s">
        <v>24</v>
      </c>
      <c r="B36" s="1" t="str">
        <f>[1]Afgrødefordeling!$C$8</f>
        <v>Roer</v>
      </c>
      <c r="C36">
        <v>2050</v>
      </c>
      <c r="D36" t="s">
        <v>7</v>
      </c>
      <c r="E36" s="173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0</v>
      </c>
      <c r="H36" s="173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0</v>
      </c>
      <c r="I36" s="173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0</v>
      </c>
      <c r="L36" t="s">
        <v>25</v>
      </c>
      <c r="M36" t="s">
        <v>3</v>
      </c>
      <c r="N36">
        <v>2050</v>
      </c>
      <c r="O36" t="s">
        <v>8</v>
      </c>
      <c r="P36" s="76">
        <f>'Landbrugsareal - resultat'!H51</f>
        <v>113844.06109918277</v>
      </c>
    </row>
    <row r="37" spans="1:16" x14ac:dyDescent="0.25">
      <c r="A37" t="s">
        <v>24</v>
      </c>
      <c r="B37" s="1" t="str">
        <f>[1]Afgrødefordeling!$C$9</f>
        <v>Majs</v>
      </c>
      <c r="C37">
        <v>2050</v>
      </c>
      <c r="D37" t="s">
        <v>7</v>
      </c>
      <c r="E37" s="173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0</v>
      </c>
      <c r="H37" s="173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0</v>
      </c>
      <c r="I37" s="173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0</v>
      </c>
      <c r="L37" t="s">
        <v>25</v>
      </c>
      <c r="M37" t="s">
        <v>4</v>
      </c>
      <c r="N37">
        <v>2050</v>
      </c>
      <c r="O37" t="s">
        <v>8</v>
      </c>
      <c r="P37" s="76">
        <f>'Landbrugsareal - resultat'!H52</f>
        <v>1556203.8730303897</v>
      </c>
    </row>
    <row r="38" spans="1:16" x14ac:dyDescent="0.25">
      <c r="A38" t="s">
        <v>24</v>
      </c>
      <c r="B38" s="1" t="str">
        <f>[1]Afgrødefordeling!$C$10</f>
        <v>Frugt</v>
      </c>
      <c r="C38">
        <v>2050</v>
      </c>
      <c r="D38" t="s">
        <v>7</v>
      </c>
      <c r="E38" s="173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0</v>
      </c>
      <c r="H38" s="173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0</v>
      </c>
      <c r="I38" s="173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0</v>
      </c>
    </row>
    <row r="39" spans="1:16" x14ac:dyDescent="0.25">
      <c r="A39" t="s">
        <v>24</v>
      </c>
      <c r="B39" s="1" t="str">
        <f>[1]Afgrødefordeling!$C$11</f>
        <v>Øvrige</v>
      </c>
      <c r="C39">
        <v>2050</v>
      </c>
      <c r="D39" t="s">
        <v>7</v>
      </c>
      <c r="E39" s="173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0</v>
      </c>
      <c r="H39" s="173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0</v>
      </c>
      <c r="I39" s="173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0</v>
      </c>
    </row>
    <row r="40" spans="1:16" x14ac:dyDescent="0.25">
      <c r="A40" t="s">
        <v>24</v>
      </c>
      <c r="B40" s="1" t="str">
        <f>[1]Afgrødefordeling!$C$12</f>
        <v>Frø</v>
      </c>
      <c r="C40">
        <v>2050</v>
      </c>
      <c r="D40" t="s">
        <v>7</v>
      </c>
      <c r="E40" s="173" t="str">
        <f t="shared" si="6"/>
        <v>JB1-10</v>
      </c>
      <c r="F40" t="str">
        <f t="shared" si="1"/>
        <v>Frø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0</v>
      </c>
      <c r="H40" s="173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0</v>
      </c>
      <c r="I40" s="173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0</v>
      </c>
      <c r="J40" s="76">
        <f t="shared" si="2"/>
        <v>0</v>
      </c>
    </row>
    <row r="41" spans="1:16" x14ac:dyDescent="0.25">
      <c r="A41" t="s">
        <v>24</v>
      </c>
      <c r="B41" s="1" t="str">
        <f>[1]Afgrødefordeling!$C$13</f>
        <v>Juletræer</v>
      </c>
      <c r="C41">
        <v>2050</v>
      </c>
      <c r="D41" t="s">
        <v>7</v>
      </c>
      <c r="E41" s="173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0</v>
      </c>
      <c r="H41" s="173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0</v>
      </c>
      <c r="I41" s="173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0</v>
      </c>
    </row>
    <row r="42" spans="1:16" x14ac:dyDescent="0.25">
      <c r="A42" t="s">
        <v>24</v>
      </c>
      <c r="B42" s="1" t="str">
        <f>[1]Afgrødefordeling!$C$14</f>
        <v>Pil &amp; poppel</v>
      </c>
      <c r="C42">
        <v>2050</v>
      </c>
      <c r="D42" t="s">
        <v>7</v>
      </c>
      <c r="E42" s="173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0</v>
      </c>
      <c r="H42" s="173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0</v>
      </c>
      <c r="I42" s="173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0</v>
      </c>
    </row>
    <row r="43" spans="1:16" x14ac:dyDescent="0.25">
      <c r="A43" t="s">
        <v>24</v>
      </c>
      <c r="B43" s="1" t="str">
        <f>[1]Afgrødefordeling!$C$15</f>
        <v>Permanent græs</v>
      </c>
      <c r="C43">
        <v>2050</v>
      </c>
      <c r="D43" t="s">
        <v>7</v>
      </c>
      <c r="E43" s="173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0</v>
      </c>
      <c r="H43" s="173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0</v>
      </c>
      <c r="I43" s="173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0</v>
      </c>
    </row>
    <row r="44" spans="1:16" x14ac:dyDescent="0.25">
      <c r="A44" t="s">
        <v>24</v>
      </c>
      <c r="B44" s="1" t="str">
        <f>[1]Afgrødefordeling!$C$2</f>
        <v>Korn</v>
      </c>
      <c r="C44">
        <v>2019</v>
      </c>
      <c r="D44" t="s">
        <v>8</v>
      </c>
      <c r="E44" s="173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3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3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25">
      <c r="A45" t="s">
        <v>24</v>
      </c>
      <c r="B45" s="1" t="str">
        <f>[1]Afgrødefordeling!$C$3</f>
        <v>Bælgsæd</v>
      </c>
      <c r="C45">
        <v>2019</v>
      </c>
      <c r="D45" t="s">
        <v>8</v>
      </c>
      <c r="E45" s="173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3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3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25">
      <c r="A46" t="s">
        <v>24</v>
      </c>
      <c r="B46" s="1" t="str">
        <f>[1]Afgrødefordeling!$C$4</f>
        <v>Raps</v>
      </c>
      <c r="C46">
        <v>2019</v>
      </c>
      <c r="D46" t="s">
        <v>8</v>
      </c>
      <c r="E46" s="173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3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3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25">
      <c r="A47" t="s">
        <v>24</v>
      </c>
      <c r="B47" s="1" t="str">
        <f>[1]Afgrødefordeling!$C$5</f>
        <v>Græs</v>
      </c>
      <c r="C47">
        <v>2019</v>
      </c>
      <c r="D47" t="s">
        <v>8</v>
      </c>
      <c r="E47" s="173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3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3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25">
      <c r="A48" t="s">
        <v>24</v>
      </c>
      <c r="B48" s="1" t="str">
        <f>[1]Afgrødefordeling!$C$6</f>
        <v>Grøntsager</v>
      </c>
      <c r="C48">
        <v>2019</v>
      </c>
      <c r="D48" t="s">
        <v>8</v>
      </c>
      <c r="E48" s="173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3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3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25">
      <c r="A49" t="s">
        <v>24</v>
      </c>
      <c r="B49" s="1" t="str">
        <f>[1]Afgrødefordeling!$C$7</f>
        <v>Kartofler</v>
      </c>
      <c r="C49">
        <v>2019</v>
      </c>
      <c r="D49" t="s">
        <v>8</v>
      </c>
      <c r="E49" s="173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3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3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25">
      <c r="A50" t="s">
        <v>24</v>
      </c>
      <c r="B50" s="1" t="str">
        <f>[1]Afgrødefordeling!$C$8</f>
        <v>Roer</v>
      </c>
      <c r="C50">
        <v>2019</v>
      </c>
      <c r="D50" t="s">
        <v>8</v>
      </c>
      <c r="E50" s="173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3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3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25">
      <c r="A51" t="s">
        <v>24</v>
      </c>
      <c r="B51" s="1" t="str">
        <f>[1]Afgrødefordeling!$C$9</f>
        <v>Majs</v>
      </c>
      <c r="C51">
        <v>2019</v>
      </c>
      <c r="D51" t="s">
        <v>8</v>
      </c>
      <c r="E51" s="173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3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3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25">
      <c r="A52" t="s">
        <v>24</v>
      </c>
      <c r="B52" s="1" t="str">
        <f>[1]Afgrødefordeling!$C$10</f>
        <v>Frugt</v>
      </c>
      <c r="C52">
        <v>2019</v>
      </c>
      <c r="D52" t="s">
        <v>8</v>
      </c>
      <c r="E52" s="173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3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3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25">
      <c r="A53" t="s">
        <v>24</v>
      </c>
      <c r="B53" s="1" t="str">
        <f>[1]Afgrødefordeling!$C$11</f>
        <v>Øvrige</v>
      </c>
      <c r="C53">
        <v>2019</v>
      </c>
      <c r="D53" t="s">
        <v>8</v>
      </c>
      <c r="E53" s="173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3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3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25">
      <c r="A54" t="s">
        <v>24</v>
      </c>
      <c r="B54" s="1" t="str">
        <f>[1]Afgrødefordeling!$C$12</f>
        <v>Frø</v>
      </c>
      <c r="C54">
        <v>2019</v>
      </c>
      <c r="D54" t="s">
        <v>8</v>
      </c>
      <c r="E54" s="173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3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3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25">
      <c r="A55" t="s">
        <v>24</v>
      </c>
      <c r="B55" s="1" t="str">
        <f>[1]Afgrødefordeling!$C$13</f>
        <v>Juletræer</v>
      </c>
      <c r="C55">
        <v>2019</v>
      </c>
      <c r="D55" t="s">
        <v>8</v>
      </c>
      <c r="E55" s="173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3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3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25">
      <c r="A56" t="s">
        <v>24</v>
      </c>
      <c r="B56" s="1" t="str">
        <f>[1]Afgrødefordeling!$C$14</f>
        <v>Pil &amp; poppel</v>
      </c>
      <c r="C56">
        <v>2019</v>
      </c>
      <c r="D56" t="s">
        <v>8</v>
      </c>
      <c r="E56" s="173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3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3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25">
      <c r="A57" t="s">
        <v>24</v>
      </c>
      <c r="B57" s="1" t="str">
        <f>[1]Afgrødefordeling!$C$15</f>
        <v>Permanent græs</v>
      </c>
      <c r="C57">
        <v>2019</v>
      </c>
      <c r="D57" t="s">
        <v>8</v>
      </c>
      <c r="E57" s="173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3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3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25">
      <c r="A58" t="s">
        <v>24</v>
      </c>
      <c r="B58" s="1" t="str">
        <f>[1]Afgrødefordeling!$C$2</f>
        <v>Korn</v>
      </c>
      <c r="C58">
        <v>2030</v>
      </c>
      <c r="D58" t="s">
        <v>8</v>
      </c>
      <c r="E58" s="173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172698.38963314588</v>
      </c>
      <c r="H58" s="173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811112.5265899963</v>
      </c>
      <c r="I58" s="173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263206.0148784538</v>
      </c>
      <c r="J58" s="76">
        <f t="shared" si="2"/>
        <v>263206.0148784538</v>
      </c>
    </row>
    <row r="59" spans="1:10" x14ac:dyDescent="0.25">
      <c r="A59" t="s">
        <v>24</v>
      </c>
      <c r="B59" s="1" t="str">
        <f>[1]Afgrødefordeling!$C$3</f>
        <v>Bælgsæd</v>
      </c>
      <c r="C59">
        <v>2030</v>
      </c>
      <c r="D59" t="s">
        <v>8</v>
      </c>
      <c r="E59" s="173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162502.61268805928</v>
      </c>
      <c r="H59" s="173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357538.24843626807</v>
      </c>
      <c r="I59" s="173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105528.43291734604</v>
      </c>
      <c r="J59" s="76">
        <f t="shared" si="2"/>
        <v>105528.43291734604</v>
      </c>
    </row>
    <row r="60" spans="1:10" x14ac:dyDescent="0.25">
      <c r="A60" t="s">
        <v>24</v>
      </c>
      <c r="B60" s="1" t="str">
        <f>[1]Afgrødefordeling!$C$4</f>
        <v>Raps</v>
      </c>
      <c r="C60">
        <v>2030</v>
      </c>
      <c r="D60" t="s">
        <v>8</v>
      </c>
      <c r="E60" s="173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41667.79106598362</v>
      </c>
      <c r="H60" s="173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100836.05437968037</v>
      </c>
      <c r="I60" s="173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53543.944875610272</v>
      </c>
      <c r="J60" s="76">
        <f t="shared" si="2"/>
        <v>53543.944875610272</v>
      </c>
    </row>
    <row r="61" spans="1:10" x14ac:dyDescent="0.25">
      <c r="A61" t="s">
        <v>24</v>
      </c>
      <c r="B61" s="1" t="str">
        <f>[1]Afgrødefordeling!$C$5</f>
        <v>Græs</v>
      </c>
      <c r="C61">
        <v>2030</v>
      </c>
      <c r="D61" t="s">
        <v>8</v>
      </c>
      <c r="E61" s="173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79447.372407112256</v>
      </c>
      <c r="H61" s="173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3074899.32269591</v>
      </c>
      <c r="I61" s="173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3074899.32269591</v>
      </c>
    </row>
    <row r="62" spans="1:10" x14ac:dyDescent="0.25">
      <c r="A62" t="s">
        <v>24</v>
      </c>
      <c r="B62" s="1" t="str">
        <f>[1]Afgrødefordeling!$C$6</f>
        <v>Grøntsager</v>
      </c>
      <c r="C62">
        <v>2030</v>
      </c>
      <c r="D62" t="s">
        <v>8</v>
      </c>
      <c r="E62" s="173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23733.116798028695</v>
      </c>
      <c r="H62" s="173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280703.43892868439</v>
      </c>
      <c r="I62" s="173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280703.43892868439</v>
      </c>
    </row>
    <row r="63" spans="1:10" x14ac:dyDescent="0.25">
      <c r="A63" t="s">
        <v>24</v>
      </c>
      <c r="B63" s="1" t="str">
        <f>[1]Afgrødefordeling!$C$7</f>
        <v>Kartofler</v>
      </c>
      <c r="C63">
        <v>2030</v>
      </c>
      <c r="D63" t="s">
        <v>8</v>
      </c>
      <c r="E63" s="173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18314.785524866154</v>
      </c>
      <c r="H63" s="173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443371.88646887487</v>
      </c>
      <c r="I63" s="173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443371.88646887487</v>
      </c>
    </row>
    <row r="64" spans="1:10" x14ac:dyDescent="0.25">
      <c r="A64" t="s">
        <v>24</v>
      </c>
      <c r="B64" s="1" t="str">
        <f>[1]Afgrødefordeling!$C$8</f>
        <v>Roer</v>
      </c>
      <c r="C64">
        <v>2030</v>
      </c>
      <c r="D64" t="s">
        <v>8</v>
      </c>
      <c r="E64" s="173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1787.9048045348884</v>
      </c>
      <c r="H64" s="173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82806.14389337493</v>
      </c>
      <c r="I64" s="173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82806.14389337493</v>
      </c>
    </row>
    <row r="65" spans="1:10" x14ac:dyDescent="0.25">
      <c r="A65" t="s">
        <v>24</v>
      </c>
      <c r="B65" s="1" t="str">
        <f>[1]Afgrødefordeling!$C$9</f>
        <v>Majs</v>
      </c>
      <c r="C65">
        <v>2030</v>
      </c>
      <c r="D65" t="s">
        <v>8</v>
      </c>
      <c r="E65" s="173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40567.410384497816</v>
      </c>
      <c r="H65" s="173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1498694.0120576182</v>
      </c>
      <c r="I65" s="173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1498694.0120576182</v>
      </c>
    </row>
    <row r="66" spans="1:10" x14ac:dyDescent="0.25">
      <c r="A66" t="s">
        <v>24</v>
      </c>
      <c r="B66" s="1" t="str">
        <f>[1]Afgrødefordeling!$C$10</f>
        <v>Frugt</v>
      </c>
      <c r="C66">
        <v>2030</v>
      </c>
      <c r="D66" t="s">
        <v>8</v>
      </c>
      <c r="E66" s="173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14897.502511358665</v>
      </c>
      <c r="H66" s="173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72093.483903217988</v>
      </c>
      <c r="I66" s="173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72093.483903217988</v>
      </c>
    </row>
    <row r="67" spans="1:10" x14ac:dyDescent="0.25">
      <c r="A67" t="s">
        <v>24</v>
      </c>
      <c r="B67" s="1" t="str">
        <f>[1]Afgrødefordeling!$C$11</f>
        <v>Øvrige</v>
      </c>
      <c r="C67">
        <v>2030</v>
      </c>
      <c r="D67" t="s">
        <v>8</v>
      </c>
      <c r="E67" s="173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19897.459682199926</v>
      </c>
      <c r="H67" s="173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337932.2432489288</v>
      </c>
      <c r="I67" s="173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337932.2432489288</v>
      </c>
    </row>
    <row r="68" spans="1:10" x14ac:dyDescent="0.25">
      <c r="A68" t="s">
        <v>24</v>
      </c>
      <c r="B68" s="1" t="str">
        <f>[1]Afgrødefordeling!$C$12</f>
        <v>Frø</v>
      </c>
      <c r="C68">
        <v>2030</v>
      </c>
      <c r="D68" t="s">
        <v>8</v>
      </c>
      <c r="E68" s="173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20930.3776507398</v>
      </c>
      <c r="H68" s="173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170470.61358017236</v>
      </c>
      <c r="I68" s="173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28155.544015775173</v>
      </c>
      <c r="J68" s="76">
        <f t="shared" si="2"/>
        <v>28155.544015775173</v>
      </c>
    </row>
    <row r="69" spans="1:10" x14ac:dyDescent="0.25">
      <c r="A69" t="s">
        <v>24</v>
      </c>
      <c r="B69" s="1" t="str">
        <f>[1]Afgrødefordeling!$C$13</f>
        <v>Juletræer</v>
      </c>
      <c r="C69">
        <v>2030</v>
      </c>
      <c r="D69" t="s">
        <v>8</v>
      </c>
      <c r="E69" s="173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5642.7197646373925</v>
      </c>
      <c r="H69" s="173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160817.51329216568</v>
      </c>
      <c r="I69" s="173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160817.51329216568</v>
      </c>
    </row>
    <row r="70" spans="1:10" x14ac:dyDescent="0.25">
      <c r="A70" t="s">
        <v>24</v>
      </c>
      <c r="B70" s="1" t="str">
        <f>[1]Afgrødefordeling!$C$14</f>
        <v>Pil &amp; poppel</v>
      </c>
      <c r="C70">
        <v>2030</v>
      </c>
      <c r="D70" t="s">
        <v>8</v>
      </c>
      <c r="E70" s="173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2075.5733753802315</v>
      </c>
      <c r="H70" s="173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28855.53229187151</v>
      </c>
      <c r="I70" s="173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28855.53229187151</v>
      </c>
    </row>
    <row r="71" spans="1:10" x14ac:dyDescent="0.25">
      <c r="A71" t="s">
        <v>24</v>
      </c>
      <c r="B71" s="1" t="str">
        <f>[1]Afgrødefordeling!$C$15</f>
        <v>Permanent græs</v>
      </c>
      <c r="C71">
        <v>2030</v>
      </c>
      <c r="D71" t="s">
        <v>8</v>
      </c>
      <c r="E71" s="173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84459.789309670814</v>
      </c>
      <c r="H71" s="173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1164700.4945803606</v>
      </c>
      <c r="I71" s="173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1164700.4945803606</v>
      </c>
    </row>
    <row r="72" spans="1:10" x14ac:dyDescent="0.25">
      <c r="A72" t="s">
        <v>24</v>
      </c>
      <c r="B72" s="1" t="str">
        <f>[1]Afgrødefordeling!$C$2</f>
        <v>Korn</v>
      </c>
      <c r="C72">
        <v>2050</v>
      </c>
      <c r="D72" t="s">
        <v>8</v>
      </c>
      <c r="E72" s="173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44370.532475093103</v>
      </c>
      <c r="H72" s="173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208395.07987576979</v>
      </c>
      <c r="I72" s="173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67624.203419687285</v>
      </c>
      <c r="J72" s="76">
        <f t="shared" ref="J72:J139" si="15">IF(I72&lt;&gt;0,I72,H72)</f>
        <v>67624.203419687285</v>
      </c>
    </row>
    <row r="73" spans="1:10" x14ac:dyDescent="0.25">
      <c r="A73" t="s">
        <v>24</v>
      </c>
      <c r="B73" s="1" t="str">
        <f>[1]Afgrødefordeling!$C$3</f>
        <v>Bælgsæd</v>
      </c>
      <c r="C73">
        <v>2050</v>
      </c>
      <c r="D73" t="s">
        <v>8</v>
      </c>
      <c r="E73" s="173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196337.31428605763</v>
      </c>
      <c r="H73" s="173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431981.35889218404</v>
      </c>
      <c r="I73" s="173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127500.52911198867</v>
      </c>
      <c r="J73" s="76">
        <f t="shared" si="15"/>
        <v>127500.52911198867</v>
      </c>
    </row>
    <row r="74" spans="1:10" x14ac:dyDescent="0.25">
      <c r="A74" t="s">
        <v>24</v>
      </c>
      <c r="B74" s="1" t="str">
        <f>[1]Afgrødefordeling!$C$4</f>
        <v>Raps</v>
      </c>
      <c r="C74">
        <v>2050</v>
      </c>
      <c r="D74" t="s">
        <v>8</v>
      </c>
      <c r="E74" s="173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26638.18036097239</v>
      </c>
      <c r="H74" s="173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64464.396473553184</v>
      </c>
      <c r="I74" s="173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34230.594527456742</v>
      </c>
      <c r="J74" s="76">
        <f t="shared" si="15"/>
        <v>34230.594527456742</v>
      </c>
    </row>
    <row r="75" spans="1:10" x14ac:dyDescent="0.25">
      <c r="A75" t="s">
        <v>24</v>
      </c>
      <c r="B75" s="1" t="str">
        <f>[1]Afgrødefordeling!$C$5</f>
        <v>Græs</v>
      </c>
      <c r="C75">
        <v>2050</v>
      </c>
      <c r="D75" t="s">
        <v>8</v>
      </c>
      <c r="E75" s="173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24376.47640121137</v>
      </c>
      <c r="H75" s="173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943457.39204192441</v>
      </c>
      <c r="I75" s="173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943457.39204192441</v>
      </c>
    </row>
    <row r="76" spans="1:10" x14ac:dyDescent="0.25">
      <c r="A76" t="s">
        <v>24</v>
      </c>
      <c r="B76" s="1" t="str">
        <f>[1]Afgrødefordeling!$C$6</f>
        <v>Grøntsager</v>
      </c>
      <c r="C76">
        <v>2050</v>
      </c>
      <c r="D76" t="s">
        <v>8</v>
      </c>
      <c r="E76" s="173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37184.355853018991</v>
      </c>
      <c r="H76" s="173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439797.96885158209</v>
      </c>
      <c r="I76" s="173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439797.96885158209</v>
      </c>
    </row>
    <row r="77" spans="1:10" x14ac:dyDescent="0.25">
      <c r="A77" t="s">
        <v>24</v>
      </c>
      <c r="B77" s="1" t="str">
        <f>[1]Afgrødefordeling!$C$7</f>
        <v>Kartofler</v>
      </c>
      <c r="C77">
        <v>2050</v>
      </c>
      <c r="D77" t="s">
        <v>8</v>
      </c>
      <c r="E77" s="173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11708.625477922109</v>
      </c>
      <c r="H77" s="173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283447.23770068795</v>
      </c>
      <c r="I77" s="173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283447.23770068795</v>
      </c>
    </row>
    <row r="78" spans="1:10" x14ac:dyDescent="0.25">
      <c r="A78" t="s">
        <v>24</v>
      </c>
      <c r="B78" s="1" t="str">
        <f>[1]Afgrødefordeling!$C$8</f>
        <v>Roer</v>
      </c>
      <c r="C78">
        <v>2050</v>
      </c>
      <c r="D78" t="s">
        <v>8</v>
      </c>
      <c r="E78" s="173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1143.0058909537534</v>
      </c>
      <c r="H78" s="173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52937.891344787648</v>
      </c>
      <c r="I78" s="173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52937.891344787648</v>
      </c>
    </row>
    <row r="79" spans="1:10" x14ac:dyDescent="0.25">
      <c r="A79" t="s">
        <v>24</v>
      </c>
      <c r="B79" s="1" t="str">
        <f>[1]Afgrødefordeling!$C$9</f>
        <v>Majs</v>
      </c>
      <c r="C79">
        <v>2050</v>
      </c>
      <c r="D79" t="s">
        <v>8</v>
      </c>
      <c r="E79" s="173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17129.989529427923</v>
      </c>
      <c r="H79" s="173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632838.34218251472</v>
      </c>
      <c r="I79" s="173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632838.34218251472</v>
      </c>
    </row>
    <row r="80" spans="1:10" x14ac:dyDescent="0.25">
      <c r="A80" t="s">
        <v>24</v>
      </c>
      <c r="B80" s="1" t="str">
        <f>[1]Afgrødefordeling!$C$10</f>
        <v>Frugt</v>
      </c>
      <c r="C80">
        <v>2050</v>
      </c>
      <c r="D80" t="s">
        <v>8</v>
      </c>
      <c r="E80" s="173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18328.678079943478</v>
      </c>
      <c r="H80" s="173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88697.971832270472</v>
      </c>
      <c r="I80" s="173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88697.971832270472</v>
      </c>
    </row>
    <row r="81" spans="1:10" x14ac:dyDescent="0.25">
      <c r="A81" t="s">
        <v>24</v>
      </c>
      <c r="B81" s="1" t="str">
        <f>[1]Afgrødefordeling!$C$11</f>
        <v>Øvrige</v>
      </c>
      <c r="C81">
        <v>2050</v>
      </c>
      <c r="D81" t="s">
        <v>8</v>
      </c>
      <c r="E81" s="173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12720.427605588167</v>
      </c>
      <c r="H81" s="173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216039.77113156478</v>
      </c>
      <c r="I81" s="173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216039.77113156478</v>
      </c>
    </row>
    <row r="82" spans="1:10" x14ac:dyDescent="0.25">
      <c r="A82" t="s">
        <v>24</v>
      </c>
      <c r="B82" s="1" t="str">
        <f>[1]Afgrødefordeling!$C$12</f>
        <v>Frø</v>
      </c>
      <c r="C82">
        <v>2050</v>
      </c>
      <c r="D82" t="s">
        <v>8</v>
      </c>
      <c r="E82" s="173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13380.771109290645</v>
      </c>
      <c r="H82" s="173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108981.70588412651</v>
      </c>
      <c r="I82" s="173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17999.813296217773</v>
      </c>
      <c r="J82" s="76">
        <f t="shared" si="15"/>
        <v>17999.813296217773</v>
      </c>
    </row>
    <row r="83" spans="1:10" x14ac:dyDescent="0.25">
      <c r="A83" t="s">
        <v>24</v>
      </c>
      <c r="B83" s="1" t="str">
        <f>[1]Afgrødefordeling!$C$13</f>
        <v>Juletræer</v>
      </c>
      <c r="C83">
        <v>2050</v>
      </c>
      <c r="D83" t="s">
        <v>8</v>
      </c>
      <c r="E83" s="173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3607.38553620004</v>
      </c>
      <c r="H83" s="173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102810.48778170114</v>
      </c>
      <c r="I83" s="173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102810.48778170114</v>
      </c>
    </row>
    <row r="84" spans="1:10" x14ac:dyDescent="0.25">
      <c r="A84" t="s">
        <v>24</v>
      </c>
      <c r="B84" s="1" t="str">
        <f>[1]Afgrødefordeling!$C$14</f>
        <v>Pil &amp; poppel</v>
      </c>
      <c r="C84">
        <v>2050</v>
      </c>
      <c r="D84" t="s">
        <v>8</v>
      </c>
      <c r="E84" s="173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1326.9121427208943</v>
      </c>
      <c r="H84" s="173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18447.315154900236</v>
      </c>
      <c r="I84" s="173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18447.315154900236</v>
      </c>
    </row>
    <row r="85" spans="1:10" x14ac:dyDescent="0.25">
      <c r="A85" t="s">
        <v>24</v>
      </c>
      <c r="B85" s="1" t="str">
        <f>[1]Afgrødefordeling!$C$15</f>
        <v>Permanent græs</v>
      </c>
      <c r="C85">
        <v>2050</v>
      </c>
      <c r="D85" t="s">
        <v>8</v>
      </c>
      <c r="E85" s="173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31983.269138445532</v>
      </c>
      <c r="H85" s="173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441049.28141916398</v>
      </c>
      <c r="I85" s="173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441049.28141916398</v>
      </c>
    </row>
    <row r="86" spans="1:10" x14ac:dyDescent="0.25">
      <c r="A86" t="s">
        <v>24</v>
      </c>
      <c r="B86" s="1" t="str">
        <f>[1]Afgrødefordeling!$C$2</f>
        <v>Korn</v>
      </c>
      <c r="C86">
        <v>2019</v>
      </c>
      <c r="D86" t="s">
        <v>7</v>
      </c>
      <c r="E86" s="173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3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3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25">
      <c r="A87" t="s">
        <v>24</v>
      </c>
      <c r="B87" s="1" t="str">
        <f>[1]Afgrødefordeling!$C$3</f>
        <v>Bælgsæd</v>
      </c>
      <c r="C87">
        <v>2019</v>
      </c>
      <c r="D87" t="s">
        <v>7</v>
      </c>
      <c r="E87" s="173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3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3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25">
      <c r="A88" t="s">
        <v>24</v>
      </c>
      <c r="B88" s="1" t="str">
        <f>[1]Afgrødefordeling!$C$4</f>
        <v>Raps</v>
      </c>
      <c r="C88">
        <v>2019</v>
      </c>
      <c r="D88" t="s">
        <v>7</v>
      </c>
      <c r="E88" s="173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3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3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25">
      <c r="A89" t="s">
        <v>24</v>
      </c>
      <c r="B89" s="1" t="str">
        <f>[1]Afgrødefordeling!$C$5</f>
        <v>Græs</v>
      </c>
      <c r="C89">
        <v>2019</v>
      </c>
      <c r="D89" t="s">
        <v>7</v>
      </c>
      <c r="E89" s="173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3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3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25">
      <c r="A90" t="s">
        <v>24</v>
      </c>
      <c r="B90" s="1" t="str">
        <f>[1]Afgrødefordeling!$C$6</f>
        <v>Grøntsager</v>
      </c>
      <c r="C90">
        <v>2019</v>
      </c>
      <c r="D90" t="s">
        <v>7</v>
      </c>
      <c r="E90" s="173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3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3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25">
      <c r="A91" t="s">
        <v>24</v>
      </c>
      <c r="B91" s="1" t="str">
        <f>[1]Afgrødefordeling!$C$7</f>
        <v>Kartofler</v>
      </c>
      <c r="C91">
        <v>2019</v>
      </c>
      <c r="D91" t="s">
        <v>7</v>
      </c>
      <c r="E91" s="173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3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3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25">
      <c r="A92" t="s">
        <v>24</v>
      </c>
      <c r="B92" s="1" t="str">
        <f>[1]Afgrødefordeling!$C$8</f>
        <v>Roer</v>
      </c>
      <c r="C92">
        <v>2019</v>
      </c>
      <c r="D92" t="s">
        <v>7</v>
      </c>
      <c r="E92" s="173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3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3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25">
      <c r="A93" t="s">
        <v>24</v>
      </c>
      <c r="B93" s="1" t="str">
        <f>[1]Afgrødefordeling!$C$9</f>
        <v>Majs</v>
      </c>
      <c r="C93">
        <v>2019</v>
      </c>
      <c r="D93" t="s">
        <v>7</v>
      </c>
      <c r="E93" s="173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3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3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25">
      <c r="A94" t="s">
        <v>24</v>
      </c>
      <c r="B94" s="1" t="str">
        <f>[1]Afgrødefordeling!$C$10</f>
        <v>Frugt</v>
      </c>
      <c r="C94">
        <v>2019</v>
      </c>
      <c r="D94" t="s">
        <v>7</v>
      </c>
      <c r="E94" s="173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3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3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25">
      <c r="A95" t="s">
        <v>24</v>
      </c>
      <c r="B95" s="1" t="str">
        <f>[1]Afgrødefordeling!$C$11</f>
        <v>Øvrige</v>
      </c>
      <c r="C95">
        <v>2019</v>
      </c>
      <c r="D95" t="s">
        <v>7</v>
      </c>
      <c r="E95" s="173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3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3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25">
      <c r="A96" t="s">
        <v>24</v>
      </c>
      <c r="B96" s="1" t="str">
        <f>[1]Afgrødefordeling!$C$12</f>
        <v>Frø</v>
      </c>
      <c r="C96">
        <v>2019</v>
      </c>
      <c r="D96" t="s">
        <v>7</v>
      </c>
      <c r="E96" s="173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3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3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25">
      <c r="A97" t="s">
        <v>24</v>
      </c>
      <c r="B97" s="1" t="str">
        <f>[1]Afgrødefordeling!$C$13</f>
        <v>Juletræer</v>
      </c>
      <c r="C97">
        <v>2019</v>
      </c>
      <c r="D97" t="s">
        <v>7</v>
      </c>
      <c r="E97" s="173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3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3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25">
      <c r="A98" t="s">
        <v>24</v>
      </c>
      <c r="B98" s="1" t="str">
        <f>[1]Afgrødefordeling!$C$14</f>
        <v>Pil &amp; poppel</v>
      </c>
      <c r="C98">
        <v>2019</v>
      </c>
      <c r="D98" t="s">
        <v>7</v>
      </c>
      <c r="E98" s="173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3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3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25">
      <c r="A99" t="s">
        <v>24</v>
      </c>
      <c r="B99" s="1" t="str">
        <f>[1]Afgrødefordeling!$C$15</f>
        <v>Permanent græs</v>
      </c>
      <c r="C99">
        <v>2019</v>
      </c>
      <c r="D99" t="s">
        <v>7</v>
      </c>
      <c r="E99" s="173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3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3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25">
      <c r="A100" t="s">
        <v>24</v>
      </c>
      <c r="B100" s="1" t="str">
        <f>[1]Afgrødefordeling!$C$2</f>
        <v>Korn</v>
      </c>
      <c r="C100">
        <v>2030</v>
      </c>
      <c r="D100" t="s">
        <v>7</v>
      </c>
      <c r="E100" s="173" t="str">
        <f t="shared" si="18"/>
        <v>OC6</v>
      </c>
      <c r="F100" t="str">
        <f t="shared" si="14"/>
        <v>Korn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0</v>
      </c>
      <c r="H100" s="173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0</v>
      </c>
      <c r="I100" s="173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0</v>
      </c>
      <c r="J100" s="76">
        <f t="shared" si="15"/>
        <v>0</v>
      </c>
    </row>
    <row r="101" spans="1:10" x14ac:dyDescent="0.25">
      <c r="A101" t="s">
        <v>24</v>
      </c>
      <c r="B101" s="1" t="str">
        <f>[1]Afgrødefordeling!$C$3</f>
        <v>Bælgsæd</v>
      </c>
      <c r="C101">
        <v>2030</v>
      </c>
      <c r="D101" t="s">
        <v>7</v>
      </c>
      <c r="E101" s="173" t="str">
        <f t="shared" si="18"/>
        <v>OC6</v>
      </c>
      <c r="F101" t="str">
        <f t="shared" si="14"/>
        <v>Bælgsæd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0</v>
      </c>
      <c r="H101" s="173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0</v>
      </c>
      <c r="I101" s="173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0</v>
      </c>
      <c r="J101" s="76">
        <f t="shared" si="15"/>
        <v>0</v>
      </c>
    </row>
    <row r="102" spans="1:10" x14ac:dyDescent="0.25">
      <c r="A102" t="s">
        <v>24</v>
      </c>
      <c r="B102" s="1" t="str">
        <f>[1]Afgrødefordeling!$C$4</f>
        <v>Raps</v>
      </c>
      <c r="C102">
        <v>2030</v>
      </c>
      <c r="D102" t="s">
        <v>7</v>
      </c>
      <c r="E102" s="173" t="str">
        <f t="shared" si="18"/>
        <v>OC6</v>
      </c>
      <c r="F102" t="str">
        <f t="shared" si="14"/>
        <v>Raps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0</v>
      </c>
      <c r="H102" s="173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0</v>
      </c>
      <c r="I102" s="173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0</v>
      </c>
      <c r="J102" s="76">
        <f t="shared" si="15"/>
        <v>0</v>
      </c>
    </row>
    <row r="103" spans="1:10" x14ac:dyDescent="0.25">
      <c r="A103" t="s">
        <v>24</v>
      </c>
      <c r="B103" s="1" t="str">
        <f>[1]Afgrødefordeling!$C$5</f>
        <v>Græs</v>
      </c>
      <c r="C103">
        <v>2030</v>
      </c>
      <c r="D103" t="s">
        <v>7</v>
      </c>
      <c r="E103" s="173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0</v>
      </c>
      <c r="H103" s="173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0</v>
      </c>
      <c r="I103" s="173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0</v>
      </c>
    </row>
    <row r="104" spans="1:10" x14ac:dyDescent="0.25">
      <c r="A104" t="s">
        <v>24</v>
      </c>
      <c r="B104" s="1" t="str">
        <f>[1]Afgrødefordeling!$C$6</f>
        <v>Grøntsager</v>
      </c>
      <c r="C104">
        <v>2030</v>
      </c>
      <c r="D104" t="s">
        <v>7</v>
      </c>
      <c r="E104" s="173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0</v>
      </c>
      <c r="H104" s="173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0</v>
      </c>
      <c r="I104" s="173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0</v>
      </c>
    </row>
    <row r="105" spans="1:10" x14ac:dyDescent="0.25">
      <c r="A105" t="s">
        <v>24</v>
      </c>
      <c r="B105" s="1" t="str">
        <f>[1]Afgrødefordeling!$C$7</f>
        <v>Kartofler</v>
      </c>
      <c r="C105">
        <v>2030</v>
      </c>
      <c r="D105" t="s">
        <v>7</v>
      </c>
      <c r="E105" s="173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0</v>
      </c>
      <c r="H105" s="173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0</v>
      </c>
      <c r="I105" s="173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0</v>
      </c>
    </row>
    <row r="106" spans="1:10" x14ac:dyDescent="0.25">
      <c r="A106" t="s">
        <v>24</v>
      </c>
      <c r="B106" s="1" t="str">
        <f>[1]Afgrødefordeling!$C$8</f>
        <v>Roer</v>
      </c>
      <c r="C106">
        <v>2030</v>
      </c>
      <c r="D106" t="s">
        <v>7</v>
      </c>
      <c r="E106" s="173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0</v>
      </c>
      <c r="H106" s="173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0</v>
      </c>
      <c r="I106" s="173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0</v>
      </c>
    </row>
    <row r="107" spans="1:10" x14ac:dyDescent="0.25">
      <c r="A107" t="s">
        <v>24</v>
      </c>
      <c r="B107" s="1" t="str">
        <f>[1]Afgrødefordeling!$C$9</f>
        <v>Majs</v>
      </c>
      <c r="C107">
        <v>2030</v>
      </c>
      <c r="D107" t="s">
        <v>7</v>
      </c>
      <c r="E107" s="173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0</v>
      </c>
      <c r="H107" s="173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0</v>
      </c>
      <c r="I107" s="173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0</v>
      </c>
    </row>
    <row r="108" spans="1:10" x14ac:dyDescent="0.25">
      <c r="A108" t="s">
        <v>24</v>
      </c>
      <c r="B108" s="1" t="str">
        <f>[1]Afgrødefordeling!$C$10</f>
        <v>Frugt</v>
      </c>
      <c r="C108">
        <v>2030</v>
      </c>
      <c r="D108" t="s">
        <v>7</v>
      </c>
      <c r="E108" s="173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0</v>
      </c>
      <c r="H108" s="173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0</v>
      </c>
      <c r="I108" s="173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0</v>
      </c>
    </row>
    <row r="109" spans="1:10" x14ac:dyDescent="0.25">
      <c r="A109" t="s">
        <v>24</v>
      </c>
      <c r="B109" s="1" t="str">
        <f>[1]Afgrødefordeling!$C$11</f>
        <v>Øvrige</v>
      </c>
      <c r="C109">
        <v>2030</v>
      </c>
      <c r="D109" t="s">
        <v>7</v>
      </c>
      <c r="E109" s="173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0</v>
      </c>
      <c r="H109" s="173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0</v>
      </c>
      <c r="I109" s="173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0</v>
      </c>
    </row>
    <row r="110" spans="1:10" x14ac:dyDescent="0.25">
      <c r="A110" t="s">
        <v>24</v>
      </c>
      <c r="B110" s="1" t="str">
        <f>[1]Afgrødefordeling!$C$12</f>
        <v>Frø</v>
      </c>
      <c r="C110">
        <v>2030</v>
      </c>
      <c r="D110" t="s">
        <v>7</v>
      </c>
      <c r="E110" s="173" t="str">
        <f t="shared" si="18"/>
        <v>OC6</v>
      </c>
      <c r="F110" t="str">
        <f t="shared" si="14"/>
        <v>Frø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0</v>
      </c>
      <c r="H110" s="173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0</v>
      </c>
      <c r="I110" s="173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0</v>
      </c>
      <c r="J110" s="76">
        <f t="shared" si="15"/>
        <v>0</v>
      </c>
    </row>
    <row r="111" spans="1:10" x14ac:dyDescent="0.25">
      <c r="A111" t="s">
        <v>24</v>
      </c>
      <c r="B111" s="1" t="str">
        <f>[1]Afgrødefordeling!$C$13</f>
        <v>Juletræer</v>
      </c>
      <c r="C111">
        <v>2030</v>
      </c>
      <c r="D111" t="s">
        <v>7</v>
      </c>
      <c r="E111" s="173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0</v>
      </c>
      <c r="H111" s="173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0</v>
      </c>
      <c r="I111" s="173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0</v>
      </c>
    </row>
    <row r="112" spans="1:10" x14ac:dyDescent="0.25">
      <c r="A112" t="s">
        <v>24</v>
      </c>
      <c r="B112" s="1" t="str">
        <f>[1]Afgrødefordeling!$C$14</f>
        <v>Pil &amp; poppel</v>
      </c>
      <c r="C112">
        <v>2030</v>
      </c>
      <c r="D112" t="s">
        <v>7</v>
      </c>
      <c r="E112" s="173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0</v>
      </c>
      <c r="H112" s="173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0</v>
      </c>
      <c r="I112" s="173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0</v>
      </c>
    </row>
    <row r="113" spans="1:10" x14ac:dyDescent="0.25">
      <c r="A113" t="s">
        <v>24</v>
      </c>
      <c r="B113" s="1" t="str">
        <f>[1]Afgrødefordeling!$C$15</f>
        <v>Permanent græs</v>
      </c>
      <c r="C113">
        <v>2030</v>
      </c>
      <c r="D113" t="s">
        <v>7</v>
      </c>
      <c r="E113" s="173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0</v>
      </c>
      <c r="H113" s="173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0</v>
      </c>
      <c r="I113" s="173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0</v>
      </c>
    </row>
    <row r="114" spans="1:10" x14ac:dyDescent="0.25">
      <c r="A114" t="s">
        <v>24</v>
      </c>
      <c r="B114" s="1" t="str">
        <f>[1]Afgrødefordeling!$C$2</f>
        <v>Korn</v>
      </c>
      <c r="C114">
        <v>2050</v>
      </c>
      <c r="D114" t="s">
        <v>7</v>
      </c>
      <c r="E114" s="173" t="str">
        <f t="shared" si="18"/>
        <v>OC6</v>
      </c>
      <c r="F114" t="str">
        <f t="shared" si="14"/>
        <v>Korn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0</v>
      </c>
      <c r="H114" s="173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0</v>
      </c>
      <c r="I114" s="173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0</v>
      </c>
      <c r="J114" s="76">
        <f t="shared" si="15"/>
        <v>0</v>
      </c>
    </row>
    <row r="115" spans="1:10" x14ac:dyDescent="0.25">
      <c r="A115" t="s">
        <v>24</v>
      </c>
      <c r="B115" s="1" t="str">
        <f>[1]Afgrødefordeling!$C$3</f>
        <v>Bælgsæd</v>
      </c>
      <c r="C115">
        <v>2050</v>
      </c>
      <c r="D115" t="s">
        <v>7</v>
      </c>
      <c r="E115" s="173" t="str">
        <f t="shared" si="18"/>
        <v>OC6</v>
      </c>
      <c r="F115" t="str">
        <f t="shared" si="14"/>
        <v>Bælgsæd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0</v>
      </c>
      <c r="H115" s="173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0</v>
      </c>
      <c r="I115" s="173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0</v>
      </c>
      <c r="J115" s="76">
        <f t="shared" si="15"/>
        <v>0</v>
      </c>
    </row>
    <row r="116" spans="1:10" x14ac:dyDescent="0.25">
      <c r="A116" t="s">
        <v>24</v>
      </c>
      <c r="B116" s="1" t="str">
        <f>[1]Afgrødefordeling!$C$4</f>
        <v>Raps</v>
      </c>
      <c r="C116">
        <v>2050</v>
      </c>
      <c r="D116" t="s">
        <v>7</v>
      </c>
      <c r="E116" s="173" t="str">
        <f t="shared" si="18"/>
        <v>OC6</v>
      </c>
      <c r="F116" t="str">
        <f t="shared" si="14"/>
        <v>Raps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0</v>
      </c>
      <c r="H116" s="173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0</v>
      </c>
      <c r="I116" s="173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0</v>
      </c>
      <c r="J116" s="76">
        <f t="shared" si="15"/>
        <v>0</v>
      </c>
    </row>
    <row r="117" spans="1:10" x14ac:dyDescent="0.25">
      <c r="A117" t="s">
        <v>24</v>
      </c>
      <c r="B117" s="1" t="str">
        <f>[1]Afgrødefordeling!$C$5</f>
        <v>Græs</v>
      </c>
      <c r="C117">
        <v>2050</v>
      </c>
      <c r="D117" t="s">
        <v>7</v>
      </c>
      <c r="E117" s="173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0</v>
      </c>
      <c r="H117" s="173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0</v>
      </c>
      <c r="I117" s="173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0</v>
      </c>
    </row>
    <row r="118" spans="1:10" x14ac:dyDescent="0.25">
      <c r="A118" t="s">
        <v>24</v>
      </c>
      <c r="B118" s="1" t="str">
        <f>[1]Afgrødefordeling!$C$6</f>
        <v>Grøntsager</v>
      </c>
      <c r="C118">
        <v>2050</v>
      </c>
      <c r="D118" t="s">
        <v>7</v>
      </c>
      <c r="E118" s="173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0</v>
      </c>
      <c r="H118" s="173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0</v>
      </c>
      <c r="I118" s="173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0</v>
      </c>
    </row>
    <row r="119" spans="1:10" x14ac:dyDescent="0.25">
      <c r="A119" t="s">
        <v>24</v>
      </c>
      <c r="B119" s="1" t="str">
        <f>[1]Afgrødefordeling!$C$7</f>
        <v>Kartofler</v>
      </c>
      <c r="C119">
        <v>2050</v>
      </c>
      <c r="D119" t="s">
        <v>7</v>
      </c>
      <c r="E119" s="173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0</v>
      </c>
      <c r="H119" s="173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0</v>
      </c>
      <c r="I119" s="173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0</v>
      </c>
    </row>
    <row r="120" spans="1:10" x14ac:dyDescent="0.25">
      <c r="A120" t="s">
        <v>24</v>
      </c>
      <c r="B120" s="1" t="str">
        <f>[1]Afgrødefordeling!$C$8</f>
        <v>Roer</v>
      </c>
      <c r="C120">
        <v>2050</v>
      </c>
      <c r="D120" t="s">
        <v>7</v>
      </c>
      <c r="E120" s="173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0</v>
      </c>
      <c r="H120" s="173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0</v>
      </c>
      <c r="I120" s="173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0</v>
      </c>
    </row>
    <row r="121" spans="1:10" x14ac:dyDescent="0.25">
      <c r="A121" t="s">
        <v>24</v>
      </c>
      <c r="B121" s="1" t="str">
        <f>[1]Afgrødefordeling!$C$9</f>
        <v>Majs</v>
      </c>
      <c r="C121">
        <v>2050</v>
      </c>
      <c r="D121" t="s">
        <v>7</v>
      </c>
      <c r="E121" s="173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0</v>
      </c>
      <c r="H121" s="173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0</v>
      </c>
      <c r="I121" s="173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0</v>
      </c>
    </row>
    <row r="122" spans="1:10" x14ac:dyDescent="0.25">
      <c r="A122" t="s">
        <v>24</v>
      </c>
      <c r="B122" s="1" t="str">
        <f>[1]Afgrødefordeling!$C$10</f>
        <v>Frugt</v>
      </c>
      <c r="C122">
        <v>2050</v>
      </c>
      <c r="D122" t="s">
        <v>7</v>
      </c>
      <c r="E122" s="173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0</v>
      </c>
      <c r="H122" s="173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0</v>
      </c>
      <c r="I122" s="173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0</v>
      </c>
    </row>
    <row r="123" spans="1:10" x14ac:dyDescent="0.25">
      <c r="A123" t="s">
        <v>24</v>
      </c>
      <c r="B123" s="1" t="str">
        <f>[1]Afgrødefordeling!$C$11</f>
        <v>Øvrige</v>
      </c>
      <c r="C123">
        <v>2050</v>
      </c>
      <c r="D123" t="s">
        <v>7</v>
      </c>
      <c r="E123" s="173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0</v>
      </c>
      <c r="H123" s="173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0</v>
      </c>
      <c r="I123" s="173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0</v>
      </c>
    </row>
    <row r="124" spans="1:10" x14ac:dyDescent="0.25">
      <c r="A124" t="s">
        <v>24</v>
      </c>
      <c r="B124" s="1" t="str">
        <f>[1]Afgrødefordeling!$C$12</f>
        <v>Frø</v>
      </c>
      <c r="C124">
        <v>2050</v>
      </c>
      <c r="D124" t="s">
        <v>7</v>
      </c>
      <c r="E124" s="173" t="str">
        <f t="shared" si="23"/>
        <v>OC6</v>
      </c>
      <c r="F124" t="str">
        <f t="shared" si="14"/>
        <v>Frø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0</v>
      </c>
      <c r="H124" s="173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0</v>
      </c>
      <c r="I124" s="173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0</v>
      </c>
      <c r="J124" s="76">
        <f t="shared" si="15"/>
        <v>0</v>
      </c>
    </row>
    <row r="125" spans="1:10" x14ac:dyDescent="0.25">
      <c r="A125" t="s">
        <v>24</v>
      </c>
      <c r="B125" s="1" t="str">
        <f>[1]Afgrødefordeling!$C$13</f>
        <v>Juletræer</v>
      </c>
      <c r="C125">
        <v>2050</v>
      </c>
      <c r="D125" t="s">
        <v>7</v>
      </c>
      <c r="E125" s="173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0</v>
      </c>
      <c r="H125" s="173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0</v>
      </c>
      <c r="I125" s="173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0</v>
      </c>
    </row>
    <row r="126" spans="1:10" x14ac:dyDescent="0.25">
      <c r="A126" t="s">
        <v>24</v>
      </c>
      <c r="B126" s="1" t="str">
        <f>[1]Afgrødefordeling!$C$14</f>
        <v>Pil &amp; poppel</v>
      </c>
      <c r="C126">
        <v>2050</v>
      </c>
      <c r="D126" t="s">
        <v>7</v>
      </c>
      <c r="E126" s="173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0</v>
      </c>
      <c r="H126" s="173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0</v>
      </c>
      <c r="I126" s="173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0</v>
      </c>
    </row>
    <row r="127" spans="1:10" x14ac:dyDescent="0.25">
      <c r="A127" t="s">
        <v>24</v>
      </c>
      <c r="B127" s="1" t="str">
        <f>[1]Afgrødefordeling!$C$15</f>
        <v>Permanent græs</v>
      </c>
      <c r="C127">
        <v>2050</v>
      </c>
      <c r="D127" t="s">
        <v>7</v>
      </c>
      <c r="E127" s="173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0</v>
      </c>
      <c r="H127" s="173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0</v>
      </c>
      <c r="I127" s="173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0</v>
      </c>
    </row>
    <row r="128" spans="1:10" x14ac:dyDescent="0.25">
      <c r="A128" t="s">
        <v>24</v>
      </c>
      <c r="B128" s="1" t="str">
        <f>[1]Afgrødefordeling!$C$2</f>
        <v>Korn</v>
      </c>
      <c r="C128">
        <v>2019</v>
      </c>
      <c r="D128" t="s">
        <v>8</v>
      </c>
      <c r="E128" s="173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3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3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25">
      <c r="A129" t="s">
        <v>24</v>
      </c>
      <c r="B129" s="1" t="str">
        <f>[1]Afgrødefordeling!$C$3</f>
        <v>Bælgsæd</v>
      </c>
      <c r="C129">
        <v>2019</v>
      </c>
      <c r="D129" t="s">
        <v>8</v>
      </c>
      <c r="E129" s="173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3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3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25">
      <c r="A130" t="s">
        <v>24</v>
      </c>
      <c r="B130" s="1" t="str">
        <f>[1]Afgrødefordeling!$C$4</f>
        <v>Raps</v>
      </c>
      <c r="C130">
        <v>2019</v>
      </c>
      <c r="D130" t="s">
        <v>8</v>
      </c>
      <c r="E130" s="173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3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3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25">
      <c r="A131" t="s">
        <v>24</v>
      </c>
      <c r="B131" s="1" t="str">
        <f>[1]Afgrødefordeling!$C$5</f>
        <v>Græs</v>
      </c>
      <c r="C131">
        <v>2019</v>
      </c>
      <c r="D131" t="s">
        <v>8</v>
      </c>
      <c r="E131" s="173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3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3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25">
      <c r="A132" t="s">
        <v>24</v>
      </c>
      <c r="B132" s="1" t="str">
        <f>[1]Afgrødefordeling!$C$6</f>
        <v>Grøntsager</v>
      </c>
      <c r="C132">
        <v>2019</v>
      </c>
      <c r="D132" t="s">
        <v>8</v>
      </c>
      <c r="E132" s="173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3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3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25">
      <c r="A133" t="s">
        <v>24</v>
      </c>
      <c r="B133" s="1" t="str">
        <f>[1]Afgrødefordeling!$C$7</f>
        <v>Kartofler</v>
      </c>
      <c r="C133">
        <v>2019</v>
      </c>
      <c r="D133" t="s">
        <v>8</v>
      </c>
      <c r="E133" s="173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3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3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25">
      <c r="A134" t="s">
        <v>24</v>
      </c>
      <c r="B134" s="1" t="str">
        <f>[1]Afgrødefordeling!$C$8</f>
        <v>Roer</v>
      </c>
      <c r="C134">
        <v>2019</v>
      </c>
      <c r="D134" t="s">
        <v>8</v>
      </c>
      <c r="E134" s="173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3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3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25">
      <c r="A135" t="s">
        <v>24</v>
      </c>
      <c r="B135" s="1" t="str">
        <f>[1]Afgrødefordeling!$C$9</f>
        <v>Majs</v>
      </c>
      <c r="C135">
        <v>2019</v>
      </c>
      <c r="D135" t="s">
        <v>8</v>
      </c>
      <c r="E135" s="173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3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3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25">
      <c r="A136" t="s">
        <v>24</v>
      </c>
      <c r="B136" s="1" t="str">
        <f>[1]Afgrødefordeling!$C$10</f>
        <v>Frugt</v>
      </c>
      <c r="C136">
        <v>2019</v>
      </c>
      <c r="D136" t="s">
        <v>8</v>
      </c>
      <c r="E136" s="173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3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3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25">
      <c r="A137" t="s">
        <v>24</v>
      </c>
      <c r="B137" s="1" t="str">
        <f>[1]Afgrødefordeling!$C$11</f>
        <v>Øvrige</v>
      </c>
      <c r="C137">
        <v>2019</v>
      </c>
      <c r="D137" t="s">
        <v>8</v>
      </c>
      <c r="E137" s="173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3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3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25">
      <c r="A138" t="s">
        <v>24</v>
      </c>
      <c r="B138" s="1" t="str">
        <f>[1]Afgrødefordeling!$C$12</f>
        <v>Frø</v>
      </c>
      <c r="C138">
        <v>2019</v>
      </c>
      <c r="D138" t="s">
        <v>8</v>
      </c>
      <c r="E138" s="173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3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3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25">
      <c r="A139" t="s">
        <v>24</v>
      </c>
      <c r="B139" s="1" t="str">
        <f>[1]Afgrødefordeling!$C$13</f>
        <v>Juletræer</v>
      </c>
      <c r="C139">
        <v>2019</v>
      </c>
      <c r="D139" t="s">
        <v>8</v>
      </c>
      <c r="E139" s="173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3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3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25">
      <c r="A140" t="s">
        <v>24</v>
      </c>
      <c r="B140" s="1" t="str">
        <f>[1]Afgrødefordeling!$C$14</f>
        <v>Pil &amp; poppel</v>
      </c>
      <c r="C140">
        <v>2019</v>
      </c>
      <c r="D140" t="s">
        <v>8</v>
      </c>
      <c r="E140" s="173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3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3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25">
      <c r="A141" t="s">
        <v>24</v>
      </c>
      <c r="B141" s="1" t="str">
        <f>[1]Afgrødefordeling!$C$15</f>
        <v>Permanent græs</v>
      </c>
      <c r="C141">
        <v>2019</v>
      </c>
      <c r="D141" t="s">
        <v>8</v>
      </c>
      <c r="E141" s="173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3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3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25">
      <c r="A142" t="s">
        <v>24</v>
      </c>
      <c r="B142" s="1" t="str">
        <f>[1]Afgrødefordeling!$C$2</f>
        <v>Korn</v>
      </c>
      <c r="C142">
        <v>2030</v>
      </c>
      <c r="D142" t="s">
        <v>8</v>
      </c>
      <c r="E142" s="173" t="str">
        <f t="shared" si="23"/>
        <v>OC6</v>
      </c>
      <c r="F142" t="str">
        <f t="shared" si="28"/>
        <v>Korn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0</v>
      </c>
      <c r="H142" s="173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0</v>
      </c>
      <c r="I142" s="173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0</v>
      </c>
      <c r="J142" s="76">
        <f t="shared" si="29"/>
        <v>0</v>
      </c>
    </row>
    <row r="143" spans="1:10" x14ac:dyDescent="0.25">
      <c r="A143" t="s">
        <v>24</v>
      </c>
      <c r="B143" s="1" t="str">
        <f>[1]Afgrødefordeling!$C$3</f>
        <v>Bælgsæd</v>
      </c>
      <c r="C143">
        <v>2030</v>
      </c>
      <c r="D143" t="s">
        <v>8</v>
      </c>
      <c r="E143" s="173" t="str">
        <f t="shared" si="23"/>
        <v>OC6</v>
      </c>
      <c r="F143" t="str">
        <f t="shared" si="28"/>
        <v>Bælgsæd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0</v>
      </c>
      <c r="H143" s="173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0</v>
      </c>
      <c r="I143" s="173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0</v>
      </c>
      <c r="J143" s="76">
        <f t="shared" si="29"/>
        <v>0</v>
      </c>
    </row>
    <row r="144" spans="1:10" x14ac:dyDescent="0.25">
      <c r="A144" t="s">
        <v>24</v>
      </c>
      <c r="B144" s="1" t="str">
        <f>[1]Afgrødefordeling!$C$4</f>
        <v>Raps</v>
      </c>
      <c r="C144">
        <v>2030</v>
      </c>
      <c r="D144" t="s">
        <v>8</v>
      </c>
      <c r="E144" s="173" t="str">
        <f t="shared" si="23"/>
        <v>OC6</v>
      </c>
      <c r="F144" t="str">
        <f t="shared" si="28"/>
        <v>Raps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0</v>
      </c>
      <c r="H144" s="173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0</v>
      </c>
      <c r="I144" s="173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0</v>
      </c>
      <c r="J144" s="76">
        <f t="shared" si="29"/>
        <v>0</v>
      </c>
    </row>
    <row r="145" spans="1:10" x14ac:dyDescent="0.25">
      <c r="A145" t="s">
        <v>24</v>
      </c>
      <c r="B145" s="1" t="str">
        <f>[1]Afgrødefordeling!$C$5</f>
        <v>Græs</v>
      </c>
      <c r="C145">
        <v>2030</v>
      </c>
      <c r="D145" t="s">
        <v>8</v>
      </c>
      <c r="E145" s="173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0</v>
      </c>
      <c r="H145" s="173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0</v>
      </c>
      <c r="I145" s="173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0</v>
      </c>
    </row>
    <row r="146" spans="1:10" x14ac:dyDescent="0.25">
      <c r="A146" t="s">
        <v>24</v>
      </c>
      <c r="B146" s="1" t="str">
        <f>[1]Afgrødefordeling!$C$6</f>
        <v>Grøntsager</v>
      </c>
      <c r="C146">
        <v>2030</v>
      </c>
      <c r="D146" t="s">
        <v>8</v>
      </c>
      <c r="E146" s="173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0</v>
      </c>
      <c r="H146" s="173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0</v>
      </c>
      <c r="I146" s="173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0</v>
      </c>
    </row>
    <row r="147" spans="1:10" x14ac:dyDescent="0.25">
      <c r="A147" t="s">
        <v>24</v>
      </c>
      <c r="B147" s="1" t="str">
        <f>[1]Afgrødefordeling!$C$7</f>
        <v>Kartofler</v>
      </c>
      <c r="C147">
        <v>2030</v>
      </c>
      <c r="D147" t="s">
        <v>8</v>
      </c>
      <c r="E147" s="173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0</v>
      </c>
      <c r="H147" s="173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0</v>
      </c>
      <c r="I147" s="173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0</v>
      </c>
    </row>
    <row r="148" spans="1:10" x14ac:dyDescent="0.25">
      <c r="A148" t="s">
        <v>24</v>
      </c>
      <c r="B148" s="1" t="str">
        <f>[1]Afgrødefordeling!$C$8</f>
        <v>Roer</v>
      </c>
      <c r="C148">
        <v>2030</v>
      </c>
      <c r="D148" t="s">
        <v>8</v>
      </c>
      <c r="E148" s="173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0</v>
      </c>
      <c r="H148" s="173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0</v>
      </c>
      <c r="I148" s="173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0</v>
      </c>
    </row>
    <row r="149" spans="1:10" x14ac:dyDescent="0.25">
      <c r="A149" t="s">
        <v>24</v>
      </c>
      <c r="B149" s="1" t="str">
        <f>[1]Afgrødefordeling!$C$9</f>
        <v>Majs</v>
      </c>
      <c r="C149">
        <v>2030</v>
      </c>
      <c r="D149" t="s">
        <v>8</v>
      </c>
      <c r="E149" s="173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0</v>
      </c>
      <c r="H149" s="173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0</v>
      </c>
      <c r="I149" s="173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0</v>
      </c>
    </row>
    <row r="150" spans="1:10" x14ac:dyDescent="0.25">
      <c r="A150" t="s">
        <v>24</v>
      </c>
      <c r="B150" s="1" t="str">
        <f>[1]Afgrødefordeling!$C$10</f>
        <v>Frugt</v>
      </c>
      <c r="C150">
        <v>2030</v>
      </c>
      <c r="D150" t="s">
        <v>8</v>
      </c>
      <c r="E150" s="173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0</v>
      </c>
      <c r="H150" s="173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0</v>
      </c>
      <c r="I150" s="173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0</v>
      </c>
    </row>
    <row r="151" spans="1:10" x14ac:dyDescent="0.25">
      <c r="A151" t="s">
        <v>24</v>
      </c>
      <c r="B151" s="1" t="str">
        <f>[1]Afgrødefordeling!$C$11</f>
        <v>Øvrige</v>
      </c>
      <c r="C151">
        <v>2030</v>
      </c>
      <c r="D151" t="s">
        <v>8</v>
      </c>
      <c r="E151" s="173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0</v>
      </c>
      <c r="H151" s="173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0</v>
      </c>
      <c r="I151" s="173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0</v>
      </c>
    </row>
    <row r="152" spans="1:10" x14ac:dyDescent="0.25">
      <c r="A152" t="s">
        <v>24</v>
      </c>
      <c r="B152" s="1" t="str">
        <f>[1]Afgrødefordeling!$C$12</f>
        <v>Frø</v>
      </c>
      <c r="C152">
        <v>2030</v>
      </c>
      <c r="D152" t="s">
        <v>8</v>
      </c>
      <c r="E152" s="173" t="str">
        <f t="shared" si="30"/>
        <v>OC6</v>
      </c>
      <c r="F152" t="str">
        <f t="shared" si="28"/>
        <v>Frø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0</v>
      </c>
      <c r="H152" s="173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0</v>
      </c>
      <c r="I152" s="173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0</v>
      </c>
      <c r="J152" s="76">
        <f t="shared" si="29"/>
        <v>0</v>
      </c>
    </row>
    <row r="153" spans="1:10" x14ac:dyDescent="0.25">
      <c r="A153" t="s">
        <v>24</v>
      </c>
      <c r="B153" s="1" t="str">
        <f>[1]Afgrødefordeling!$C$13</f>
        <v>Juletræer</v>
      </c>
      <c r="C153">
        <v>2030</v>
      </c>
      <c r="D153" t="s">
        <v>8</v>
      </c>
      <c r="E153" s="173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0</v>
      </c>
      <c r="H153" s="173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0</v>
      </c>
      <c r="I153" s="173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0</v>
      </c>
    </row>
    <row r="154" spans="1:10" x14ac:dyDescent="0.25">
      <c r="A154" t="s">
        <v>24</v>
      </c>
      <c r="B154" s="1" t="str">
        <f>[1]Afgrødefordeling!$C$14</f>
        <v>Pil &amp; poppel</v>
      </c>
      <c r="C154">
        <v>2030</v>
      </c>
      <c r="D154" t="s">
        <v>8</v>
      </c>
      <c r="E154" s="173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0</v>
      </c>
      <c r="H154" s="173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0</v>
      </c>
      <c r="I154" s="173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0</v>
      </c>
    </row>
    <row r="155" spans="1:10" x14ac:dyDescent="0.25">
      <c r="A155" t="s">
        <v>24</v>
      </c>
      <c r="B155" s="1" t="str">
        <f>[1]Afgrødefordeling!$C$15</f>
        <v>Permanent græs</v>
      </c>
      <c r="C155">
        <v>2030</v>
      </c>
      <c r="D155" t="s">
        <v>8</v>
      </c>
      <c r="E155" s="173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0</v>
      </c>
      <c r="H155" s="173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0</v>
      </c>
      <c r="I155" s="173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0</v>
      </c>
    </row>
    <row r="156" spans="1:10" x14ac:dyDescent="0.25">
      <c r="A156" t="s">
        <v>24</v>
      </c>
      <c r="B156" s="1" t="str">
        <f>[1]Afgrødefordeling!$C$2</f>
        <v>Korn</v>
      </c>
      <c r="C156">
        <v>2050</v>
      </c>
      <c r="D156" t="s">
        <v>8</v>
      </c>
      <c r="E156" s="173" t="str">
        <f t="shared" si="30"/>
        <v>OC6</v>
      </c>
      <c r="F156" t="str">
        <f t="shared" si="28"/>
        <v>Korn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0</v>
      </c>
      <c r="H156" s="173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0</v>
      </c>
      <c r="I156" s="173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0</v>
      </c>
      <c r="J156" s="76">
        <f t="shared" si="29"/>
        <v>0</v>
      </c>
    </row>
    <row r="157" spans="1:10" x14ac:dyDescent="0.25">
      <c r="A157" t="s">
        <v>24</v>
      </c>
      <c r="B157" s="1" t="str">
        <f>[1]Afgrødefordeling!$C$3</f>
        <v>Bælgsæd</v>
      </c>
      <c r="C157">
        <v>2050</v>
      </c>
      <c r="D157" t="s">
        <v>8</v>
      </c>
      <c r="E157" s="173" t="str">
        <f t="shared" si="30"/>
        <v>OC6</v>
      </c>
      <c r="F157" t="str">
        <f t="shared" si="28"/>
        <v>Bælgsæd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0</v>
      </c>
      <c r="H157" s="173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0</v>
      </c>
      <c r="I157" s="173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0</v>
      </c>
      <c r="J157" s="76">
        <f t="shared" si="29"/>
        <v>0</v>
      </c>
    </row>
    <row r="158" spans="1:10" x14ac:dyDescent="0.25">
      <c r="A158" t="s">
        <v>24</v>
      </c>
      <c r="B158" s="1" t="str">
        <f>[1]Afgrødefordeling!$C$4</f>
        <v>Raps</v>
      </c>
      <c r="C158">
        <v>2050</v>
      </c>
      <c r="D158" t="s">
        <v>8</v>
      </c>
      <c r="E158" s="173" t="str">
        <f t="shared" si="30"/>
        <v>OC6</v>
      </c>
      <c r="F158" t="str">
        <f t="shared" si="28"/>
        <v>Raps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0</v>
      </c>
      <c r="H158" s="173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0</v>
      </c>
      <c r="I158" s="173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0</v>
      </c>
      <c r="J158" s="76">
        <f t="shared" si="29"/>
        <v>0</v>
      </c>
    </row>
    <row r="159" spans="1:10" x14ac:dyDescent="0.25">
      <c r="A159" t="s">
        <v>24</v>
      </c>
      <c r="B159" s="1" t="str">
        <f>[1]Afgrødefordeling!$C$5</f>
        <v>Græs</v>
      </c>
      <c r="C159">
        <v>2050</v>
      </c>
      <c r="D159" t="s">
        <v>8</v>
      </c>
      <c r="E159" s="173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0</v>
      </c>
      <c r="H159" s="173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0</v>
      </c>
      <c r="I159" s="173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0</v>
      </c>
    </row>
    <row r="160" spans="1:10" x14ac:dyDescent="0.25">
      <c r="A160" t="s">
        <v>24</v>
      </c>
      <c r="B160" s="1" t="str">
        <f>[1]Afgrødefordeling!$C$6</f>
        <v>Grøntsager</v>
      </c>
      <c r="C160">
        <v>2050</v>
      </c>
      <c r="D160" t="s">
        <v>8</v>
      </c>
      <c r="E160" s="173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0</v>
      </c>
      <c r="H160" s="173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0</v>
      </c>
      <c r="I160" s="173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0</v>
      </c>
    </row>
    <row r="161" spans="1:10" x14ac:dyDescent="0.25">
      <c r="A161" t="s">
        <v>24</v>
      </c>
      <c r="B161" s="1" t="str">
        <f>[1]Afgrødefordeling!$C$7</f>
        <v>Kartofler</v>
      </c>
      <c r="C161">
        <v>2050</v>
      </c>
      <c r="D161" t="s">
        <v>8</v>
      </c>
      <c r="E161" s="173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0</v>
      </c>
      <c r="H161" s="173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0</v>
      </c>
      <c r="I161" s="173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0</v>
      </c>
    </row>
    <row r="162" spans="1:10" x14ac:dyDescent="0.25">
      <c r="A162" t="s">
        <v>24</v>
      </c>
      <c r="B162" s="1" t="str">
        <f>[1]Afgrødefordeling!$C$8</f>
        <v>Roer</v>
      </c>
      <c r="C162">
        <v>2050</v>
      </c>
      <c r="D162" t="s">
        <v>8</v>
      </c>
      <c r="E162" s="173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0</v>
      </c>
      <c r="H162" s="173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0</v>
      </c>
      <c r="I162" s="173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0</v>
      </c>
    </row>
    <row r="163" spans="1:10" x14ac:dyDescent="0.25">
      <c r="A163" t="s">
        <v>24</v>
      </c>
      <c r="B163" s="1" t="str">
        <f>[1]Afgrødefordeling!$C$9</f>
        <v>Majs</v>
      </c>
      <c r="C163">
        <v>2050</v>
      </c>
      <c r="D163" t="s">
        <v>8</v>
      </c>
      <c r="E163" s="173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0</v>
      </c>
      <c r="H163" s="173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0</v>
      </c>
      <c r="I163" s="173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0</v>
      </c>
    </row>
    <row r="164" spans="1:10" x14ac:dyDescent="0.25">
      <c r="A164" t="s">
        <v>24</v>
      </c>
      <c r="B164" s="1" t="str">
        <f>[1]Afgrødefordeling!$C$10</f>
        <v>Frugt</v>
      </c>
      <c r="C164">
        <v>2050</v>
      </c>
      <c r="D164" t="s">
        <v>8</v>
      </c>
      <c r="E164" s="173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0</v>
      </c>
      <c r="H164" s="173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0</v>
      </c>
      <c r="I164" s="173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0</v>
      </c>
    </row>
    <row r="165" spans="1:10" x14ac:dyDescent="0.25">
      <c r="A165" t="s">
        <v>24</v>
      </c>
      <c r="B165" s="1" t="str">
        <f>[1]Afgrødefordeling!$C$11</f>
        <v>Øvrige</v>
      </c>
      <c r="C165">
        <v>2050</v>
      </c>
      <c r="D165" t="s">
        <v>8</v>
      </c>
      <c r="E165" s="173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0</v>
      </c>
      <c r="H165" s="173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0</v>
      </c>
      <c r="I165" s="173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0</v>
      </c>
    </row>
    <row r="166" spans="1:10" x14ac:dyDescent="0.25">
      <c r="A166" t="s">
        <v>24</v>
      </c>
      <c r="B166" s="1" t="str">
        <f>[1]Afgrødefordeling!$C$12</f>
        <v>Frø</v>
      </c>
      <c r="C166">
        <v>2050</v>
      </c>
      <c r="D166" t="s">
        <v>8</v>
      </c>
      <c r="E166" s="173" t="str">
        <f t="shared" si="30"/>
        <v>OC6</v>
      </c>
      <c r="F166" t="str">
        <f t="shared" si="28"/>
        <v>Frø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0</v>
      </c>
      <c r="H166" s="173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0</v>
      </c>
      <c r="I166" s="173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0</v>
      </c>
      <c r="J166" s="76">
        <f t="shared" si="29"/>
        <v>0</v>
      </c>
    </row>
    <row r="167" spans="1:10" x14ac:dyDescent="0.25">
      <c r="A167" t="s">
        <v>24</v>
      </c>
      <c r="B167" s="1" t="str">
        <f>[1]Afgrødefordeling!$C$13</f>
        <v>Juletræer</v>
      </c>
      <c r="C167">
        <v>2050</v>
      </c>
      <c r="D167" t="s">
        <v>8</v>
      </c>
      <c r="E167" s="173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0</v>
      </c>
      <c r="H167" s="173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0</v>
      </c>
      <c r="I167" s="173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0</v>
      </c>
    </row>
    <row r="168" spans="1:10" x14ac:dyDescent="0.25">
      <c r="A168" t="s">
        <v>24</v>
      </c>
      <c r="B168" s="1" t="str">
        <f>[1]Afgrødefordeling!$C$14</f>
        <v>Pil &amp; poppel</v>
      </c>
      <c r="C168">
        <v>2050</v>
      </c>
      <c r="D168" t="s">
        <v>8</v>
      </c>
      <c r="E168" s="173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0</v>
      </c>
      <c r="H168" s="173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0</v>
      </c>
      <c r="I168" s="173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0</v>
      </c>
    </row>
    <row r="169" spans="1:10" x14ac:dyDescent="0.25">
      <c r="A169" t="s">
        <v>24</v>
      </c>
      <c r="B169" s="1" t="str">
        <f>[1]Afgrødefordeling!$C$15</f>
        <v>Permanent græs</v>
      </c>
      <c r="C169">
        <v>2050</v>
      </c>
      <c r="D169" t="s">
        <v>8</v>
      </c>
      <c r="E169" s="173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0</v>
      </c>
      <c r="H169" s="173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0</v>
      </c>
      <c r="I169" s="173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0</v>
      </c>
    </row>
    <row r="170" spans="1:10" x14ac:dyDescent="0.25">
      <c r="A170" t="s">
        <v>24</v>
      </c>
      <c r="B170" s="1" t="str">
        <f>[1]Afgrødefordeling!$C$2</f>
        <v>Korn</v>
      </c>
      <c r="C170">
        <v>2019</v>
      </c>
      <c r="D170" t="s">
        <v>7</v>
      </c>
      <c r="E170" s="173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3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3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25">
      <c r="A171" t="s">
        <v>24</v>
      </c>
      <c r="B171" s="1" t="str">
        <f>[1]Afgrødefordeling!$C$3</f>
        <v>Bælgsæd</v>
      </c>
      <c r="C171">
        <v>2019</v>
      </c>
      <c r="D171" t="s">
        <v>7</v>
      </c>
      <c r="E171" s="173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3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3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25">
      <c r="A172" t="s">
        <v>24</v>
      </c>
      <c r="B172" s="1" t="str">
        <f>[1]Afgrødefordeling!$C$4</f>
        <v>Raps</v>
      </c>
      <c r="C172">
        <v>2019</v>
      </c>
      <c r="D172" t="s">
        <v>7</v>
      </c>
      <c r="E172" s="173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3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3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25">
      <c r="A173" t="s">
        <v>24</v>
      </c>
      <c r="B173" s="1" t="str">
        <f>[1]Afgrødefordeling!$C$5</f>
        <v>Græs</v>
      </c>
      <c r="C173">
        <v>2019</v>
      </c>
      <c r="D173" t="s">
        <v>7</v>
      </c>
      <c r="E173" s="173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3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3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25">
      <c r="A174" t="s">
        <v>24</v>
      </c>
      <c r="B174" s="1" t="str">
        <f>[1]Afgrødefordeling!$C$6</f>
        <v>Grøntsager</v>
      </c>
      <c r="C174">
        <v>2019</v>
      </c>
      <c r="D174" t="s">
        <v>7</v>
      </c>
      <c r="E174" s="173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3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3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25">
      <c r="A175" t="s">
        <v>24</v>
      </c>
      <c r="B175" s="1" t="str">
        <f>[1]Afgrødefordeling!$C$7</f>
        <v>Kartofler</v>
      </c>
      <c r="C175">
        <v>2019</v>
      </c>
      <c r="D175" t="s">
        <v>7</v>
      </c>
      <c r="E175" s="173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3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3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25">
      <c r="A176" t="s">
        <v>24</v>
      </c>
      <c r="B176" s="1" t="str">
        <f>[1]Afgrødefordeling!$C$8</f>
        <v>Roer</v>
      </c>
      <c r="C176">
        <v>2019</v>
      </c>
      <c r="D176" t="s">
        <v>7</v>
      </c>
      <c r="E176" s="173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3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3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25">
      <c r="A177" t="s">
        <v>24</v>
      </c>
      <c r="B177" s="1" t="str">
        <f>[1]Afgrødefordeling!$C$9</f>
        <v>Majs</v>
      </c>
      <c r="C177">
        <v>2019</v>
      </c>
      <c r="D177" t="s">
        <v>7</v>
      </c>
      <c r="E177" s="173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3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3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25">
      <c r="A178" t="s">
        <v>24</v>
      </c>
      <c r="B178" s="1" t="str">
        <f>[1]Afgrødefordeling!$C$10</f>
        <v>Frugt</v>
      </c>
      <c r="C178">
        <v>2019</v>
      </c>
      <c r="D178" t="s">
        <v>7</v>
      </c>
      <c r="E178" s="173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3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3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25">
      <c r="A179" t="s">
        <v>24</v>
      </c>
      <c r="B179" s="1" t="str">
        <f>[1]Afgrødefordeling!$C$11</f>
        <v>Øvrige</v>
      </c>
      <c r="C179">
        <v>2019</v>
      </c>
      <c r="D179" t="s">
        <v>7</v>
      </c>
      <c r="E179" s="173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3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3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25">
      <c r="A180" t="s">
        <v>24</v>
      </c>
      <c r="B180" s="1" t="str">
        <f>[1]Afgrødefordeling!$C$12</f>
        <v>Frø</v>
      </c>
      <c r="C180">
        <v>2019</v>
      </c>
      <c r="D180" t="s">
        <v>7</v>
      </c>
      <c r="E180" s="173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3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3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25">
      <c r="A181" t="s">
        <v>24</v>
      </c>
      <c r="B181" s="1" t="str">
        <f>[1]Afgrødefordeling!$C$13</f>
        <v>Juletræer</v>
      </c>
      <c r="C181">
        <v>2019</v>
      </c>
      <c r="D181" t="s">
        <v>7</v>
      </c>
      <c r="E181" s="173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3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3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25">
      <c r="A182" t="s">
        <v>24</v>
      </c>
      <c r="B182" s="1" t="str">
        <f>[1]Afgrødefordeling!$C$14</f>
        <v>Pil &amp; poppel</v>
      </c>
      <c r="C182">
        <v>2019</v>
      </c>
      <c r="D182" t="s">
        <v>7</v>
      </c>
      <c r="E182" s="173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3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3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25">
      <c r="A183" t="s">
        <v>24</v>
      </c>
      <c r="B183" s="1" t="str">
        <f>[1]Afgrødefordeling!$C$15</f>
        <v>Permanent græs</v>
      </c>
      <c r="C183">
        <v>2019</v>
      </c>
      <c r="D183" t="s">
        <v>7</v>
      </c>
      <c r="E183" s="173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3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3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25">
      <c r="A184" t="s">
        <v>24</v>
      </c>
      <c r="B184" s="1" t="str">
        <f>[1]Afgrødefordeling!$C$2</f>
        <v>Korn</v>
      </c>
      <c r="C184">
        <v>2030</v>
      </c>
      <c r="D184" t="s">
        <v>7</v>
      </c>
      <c r="E184" s="173" t="str">
        <f t="shared" si="35"/>
        <v>OC12</v>
      </c>
      <c r="F184" t="str">
        <f t="shared" si="28"/>
        <v>Korn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0</v>
      </c>
      <c r="H184" s="173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0</v>
      </c>
      <c r="I184" s="173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0</v>
      </c>
      <c r="J184" s="76">
        <f t="shared" si="29"/>
        <v>0</v>
      </c>
    </row>
    <row r="185" spans="1:10" x14ac:dyDescent="0.25">
      <c r="A185" t="s">
        <v>24</v>
      </c>
      <c r="B185" s="1" t="str">
        <f>[1]Afgrødefordeling!$C$3</f>
        <v>Bælgsæd</v>
      </c>
      <c r="C185">
        <v>2030</v>
      </c>
      <c r="D185" t="s">
        <v>7</v>
      </c>
      <c r="E185" s="173" t="str">
        <f t="shared" si="35"/>
        <v>OC12</v>
      </c>
      <c r="F185" t="str">
        <f t="shared" si="28"/>
        <v>Bælgsæd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0</v>
      </c>
      <c r="H185" s="173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0</v>
      </c>
      <c r="I185" s="173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0</v>
      </c>
      <c r="J185" s="76">
        <f t="shared" si="29"/>
        <v>0</v>
      </c>
    </row>
    <row r="186" spans="1:10" x14ac:dyDescent="0.25">
      <c r="A186" t="s">
        <v>24</v>
      </c>
      <c r="B186" s="1" t="str">
        <f>[1]Afgrødefordeling!$C$4</f>
        <v>Raps</v>
      </c>
      <c r="C186">
        <v>2030</v>
      </c>
      <c r="D186" t="s">
        <v>7</v>
      </c>
      <c r="E186" s="173" t="str">
        <f t="shared" si="35"/>
        <v>OC12</v>
      </c>
      <c r="F186" t="str">
        <f t="shared" si="28"/>
        <v>Raps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0</v>
      </c>
      <c r="H186" s="173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0</v>
      </c>
      <c r="I186" s="173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0</v>
      </c>
      <c r="J186" s="76">
        <f t="shared" si="29"/>
        <v>0</v>
      </c>
    </row>
    <row r="187" spans="1:10" x14ac:dyDescent="0.25">
      <c r="A187" t="s">
        <v>24</v>
      </c>
      <c r="B187" s="1" t="str">
        <f>[1]Afgrødefordeling!$C$5</f>
        <v>Græs</v>
      </c>
      <c r="C187">
        <v>2030</v>
      </c>
      <c r="D187" t="s">
        <v>7</v>
      </c>
      <c r="E187" s="173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0</v>
      </c>
      <c r="H187" s="173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0</v>
      </c>
      <c r="I187" s="173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0</v>
      </c>
    </row>
    <row r="188" spans="1:10" x14ac:dyDescent="0.25">
      <c r="A188" t="s">
        <v>24</v>
      </c>
      <c r="B188" s="1" t="str">
        <f>[1]Afgrødefordeling!$C$6</f>
        <v>Grøntsager</v>
      </c>
      <c r="C188">
        <v>2030</v>
      </c>
      <c r="D188" t="s">
        <v>7</v>
      </c>
      <c r="E188" s="173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0</v>
      </c>
      <c r="H188" s="173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0</v>
      </c>
      <c r="I188" s="173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0</v>
      </c>
    </row>
    <row r="189" spans="1:10" x14ac:dyDescent="0.25">
      <c r="A189" t="s">
        <v>24</v>
      </c>
      <c r="B189" s="1" t="str">
        <f>[1]Afgrødefordeling!$C$7</f>
        <v>Kartofler</v>
      </c>
      <c r="C189">
        <v>2030</v>
      </c>
      <c r="D189" t="s">
        <v>7</v>
      </c>
      <c r="E189" s="173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0</v>
      </c>
      <c r="H189" s="173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0</v>
      </c>
      <c r="I189" s="173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0</v>
      </c>
    </row>
    <row r="190" spans="1:10" x14ac:dyDescent="0.25">
      <c r="A190" t="s">
        <v>24</v>
      </c>
      <c r="B190" s="1" t="str">
        <f>[1]Afgrødefordeling!$C$8</f>
        <v>Roer</v>
      </c>
      <c r="C190">
        <v>2030</v>
      </c>
      <c r="D190" t="s">
        <v>7</v>
      </c>
      <c r="E190" s="173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0</v>
      </c>
      <c r="H190" s="173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0</v>
      </c>
      <c r="I190" s="173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0</v>
      </c>
    </row>
    <row r="191" spans="1:10" x14ac:dyDescent="0.25">
      <c r="A191" t="s">
        <v>24</v>
      </c>
      <c r="B191" s="1" t="str">
        <f>[1]Afgrødefordeling!$C$9</f>
        <v>Majs</v>
      </c>
      <c r="C191">
        <v>2030</v>
      </c>
      <c r="D191" t="s">
        <v>7</v>
      </c>
      <c r="E191" s="173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0</v>
      </c>
      <c r="H191" s="173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0</v>
      </c>
      <c r="I191" s="173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0</v>
      </c>
    </row>
    <row r="192" spans="1:10" x14ac:dyDescent="0.25">
      <c r="A192" t="s">
        <v>24</v>
      </c>
      <c r="B192" s="1" t="str">
        <f>[1]Afgrødefordeling!$C$10</f>
        <v>Frugt</v>
      </c>
      <c r="C192">
        <v>2030</v>
      </c>
      <c r="D192" t="s">
        <v>7</v>
      </c>
      <c r="E192" s="173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0</v>
      </c>
      <c r="H192" s="173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0</v>
      </c>
      <c r="I192" s="173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0</v>
      </c>
    </row>
    <row r="193" spans="1:10" x14ac:dyDescent="0.25">
      <c r="A193" t="s">
        <v>24</v>
      </c>
      <c r="B193" s="1" t="str">
        <f>[1]Afgrødefordeling!$C$11</f>
        <v>Øvrige</v>
      </c>
      <c r="C193">
        <v>2030</v>
      </c>
      <c r="D193" t="s">
        <v>7</v>
      </c>
      <c r="E193" s="173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0</v>
      </c>
      <c r="H193" s="173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0</v>
      </c>
      <c r="I193" s="173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0</v>
      </c>
    </row>
    <row r="194" spans="1:10" x14ac:dyDescent="0.25">
      <c r="A194" t="s">
        <v>24</v>
      </c>
      <c r="B194" s="1" t="str">
        <f>[1]Afgrødefordeling!$C$12</f>
        <v>Frø</v>
      </c>
      <c r="C194">
        <v>2030</v>
      </c>
      <c r="D194" t="s">
        <v>7</v>
      </c>
      <c r="E194" s="173" t="str">
        <f t="shared" si="35"/>
        <v>OC12</v>
      </c>
      <c r="F194" t="str">
        <f t="shared" si="28"/>
        <v>Frø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0</v>
      </c>
      <c r="H194" s="173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0</v>
      </c>
      <c r="I194" s="173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0</v>
      </c>
      <c r="J194" s="76">
        <f t="shared" si="29"/>
        <v>0</v>
      </c>
    </row>
    <row r="195" spans="1:10" x14ac:dyDescent="0.25">
      <c r="A195" t="s">
        <v>24</v>
      </c>
      <c r="B195" s="1" t="str">
        <f>[1]Afgrødefordeling!$C$13</f>
        <v>Juletræer</v>
      </c>
      <c r="C195">
        <v>2030</v>
      </c>
      <c r="D195" t="s">
        <v>7</v>
      </c>
      <c r="E195" s="173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0</v>
      </c>
      <c r="H195" s="173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0</v>
      </c>
      <c r="I195" s="173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0</v>
      </c>
    </row>
    <row r="196" spans="1:10" x14ac:dyDescent="0.25">
      <c r="A196" t="s">
        <v>24</v>
      </c>
      <c r="B196" s="1" t="str">
        <f>[1]Afgrødefordeling!$C$14</f>
        <v>Pil &amp; poppel</v>
      </c>
      <c r="C196">
        <v>2030</v>
      </c>
      <c r="D196" t="s">
        <v>7</v>
      </c>
      <c r="E196" s="173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0</v>
      </c>
      <c r="H196" s="173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0</v>
      </c>
      <c r="I196" s="173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0</v>
      </c>
    </row>
    <row r="197" spans="1:10" x14ac:dyDescent="0.25">
      <c r="A197" t="s">
        <v>24</v>
      </c>
      <c r="B197" s="1" t="str">
        <f>[1]Afgrødefordeling!$C$15</f>
        <v>Permanent græs</v>
      </c>
      <c r="C197">
        <v>2030</v>
      </c>
      <c r="D197" t="s">
        <v>7</v>
      </c>
      <c r="E197" s="173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0</v>
      </c>
      <c r="H197" s="173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0</v>
      </c>
      <c r="I197" s="173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0</v>
      </c>
    </row>
    <row r="198" spans="1:10" x14ac:dyDescent="0.25">
      <c r="A198" t="s">
        <v>24</v>
      </c>
      <c r="B198" s="1" t="str">
        <f>[1]Afgrødefordeling!$C$2</f>
        <v>Korn</v>
      </c>
      <c r="C198">
        <v>2050</v>
      </c>
      <c r="D198" t="s">
        <v>7</v>
      </c>
      <c r="E198" s="173" t="str">
        <f t="shared" si="35"/>
        <v>OC12</v>
      </c>
      <c r="F198" t="str">
        <f t="shared" si="28"/>
        <v>Korn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0</v>
      </c>
      <c r="H198" s="173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0</v>
      </c>
      <c r="I198" s="173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0</v>
      </c>
      <c r="J198" s="76">
        <f t="shared" si="29"/>
        <v>0</v>
      </c>
    </row>
    <row r="199" spans="1:10" x14ac:dyDescent="0.25">
      <c r="A199" t="s">
        <v>24</v>
      </c>
      <c r="B199" s="1" t="str">
        <f>[1]Afgrødefordeling!$C$3</f>
        <v>Bælgsæd</v>
      </c>
      <c r="C199">
        <v>2050</v>
      </c>
      <c r="D199" t="s">
        <v>7</v>
      </c>
      <c r="E199" s="173" t="str">
        <f t="shared" si="35"/>
        <v>OC12</v>
      </c>
      <c r="F199" t="str">
        <f t="shared" si="28"/>
        <v>Bælgsæd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0</v>
      </c>
      <c r="H199" s="173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0</v>
      </c>
      <c r="I199" s="173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0</v>
      </c>
      <c r="J199" s="76">
        <f t="shared" si="29"/>
        <v>0</v>
      </c>
    </row>
    <row r="200" spans="1:10" x14ac:dyDescent="0.25">
      <c r="A200" t="s">
        <v>24</v>
      </c>
      <c r="B200" s="1" t="str">
        <f>[1]Afgrødefordeling!$C$4</f>
        <v>Raps</v>
      </c>
      <c r="C200">
        <v>2050</v>
      </c>
      <c r="D200" t="s">
        <v>7</v>
      </c>
      <c r="E200" s="173" t="str">
        <f t="shared" si="35"/>
        <v>OC12</v>
      </c>
      <c r="F200" t="str">
        <f t="shared" si="28"/>
        <v>Raps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0</v>
      </c>
      <c r="H200" s="173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0</v>
      </c>
      <c r="I200" s="173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0</v>
      </c>
      <c r="J200" s="76">
        <f t="shared" si="29"/>
        <v>0</v>
      </c>
    </row>
    <row r="201" spans="1:10" x14ac:dyDescent="0.25">
      <c r="A201" t="s">
        <v>24</v>
      </c>
      <c r="B201" s="1" t="str">
        <f>[1]Afgrødefordeling!$C$5</f>
        <v>Græs</v>
      </c>
      <c r="C201">
        <v>2050</v>
      </c>
      <c r="D201" t="s">
        <v>7</v>
      </c>
      <c r="E201" s="173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0</v>
      </c>
      <c r="H201" s="173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0</v>
      </c>
      <c r="I201" s="173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0</v>
      </c>
    </row>
    <row r="202" spans="1:10" x14ac:dyDescent="0.25">
      <c r="A202" t="s">
        <v>24</v>
      </c>
      <c r="B202" s="1" t="str">
        <f>[1]Afgrødefordeling!$C$6</f>
        <v>Grøntsager</v>
      </c>
      <c r="C202">
        <v>2050</v>
      </c>
      <c r="D202" t="s">
        <v>7</v>
      </c>
      <c r="E202" s="173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0</v>
      </c>
      <c r="H202" s="173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0</v>
      </c>
      <c r="I202" s="173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0</v>
      </c>
    </row>
    <row r="203" spans="1:10" x14ac:dyDescent="0.25">
      <c r="A203" t="s">
        <v>24</v>
      </c>
      <c r="B203" s="1" t="str">
        <f>[1]Afgrødefordeling!$C$7</f>
        <v>Kartofler</v>
      </c>
      <c r="C203">
        <v>2050</v>
      </c>
      <c r="D203" t="s">
        <v>7</v>
      </c>
      <c r="E203" s="173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0</v>
      </c>
      <c r="H203" s="173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0</v>
      </c>
      <c r="I203" s="173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0</v>
      </c>
    </row>
    <row r="204" spans="1:10" x14ac:dyDescent="0.25">
      <c r="A204" t="s">
        <v>24</v>
      </c>
      <c r="B204" s="1" t="str">
        <f>[1]Afgrødefordeling!$C$8</f>
        <v>Roer</v>
      </c>
      <c r="C204">
        <v>2050</v>
      </c>
      <c r="D204" t="s">
        <v>7</v>
      </c>
      <c r="E204" s="173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0</v>
      </c>
      <c r="H204" s="173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0</v>
      </c>
      <c r="I204" s="173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0</v>
      </c>
    </row>
    <row r="205" spans="1:10" x14ac:dyDescent="0.25">
      <c r="A205" t="s">
        <v>24</v>
      </c>
      <c r="B205" s="1" t="str">
        <f>[1]Afgrødefordeling!$C$9</f>
        <v>Majs</v>
      </c>
      <c r="C205">
        <v>2050</v>
      </c>
      <c r="D205" t="s">
        <v>7</v>
      </c>
      <c r="E205" s="173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0</v>
      </c>
      <c r="H205" s="173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0</v>
      </c>
      <c r="I205" s="173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0</v>
      </c>
    </row>
    <row r="206" spans="1:10" x14ac:dyDescent="0.25">
      <c r="A206" t="s">
        <v>24</v>
      </c>
      <c r="B206" s="1" t="str">
        <f>[1]Afgrødefordeling!$C$10</f>
        <v>Frugt</v>
      </c>
      <c r="C206">
        <v>2050</v>
      </c>
      <c r="D206" t="s">
        <v>7</v>
      </c>
      <c r="E206" s="173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0</v>
      </c>
      <c r="H206" s="173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0</v>
      </c>
      <c r="I206" s="173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0</v>
      </c>
    </row>
    <row r="207" spans="1:10" x14ac:dyDescent="0.25">
      <c r="A207" t="s">
        <v>24</v>
      </c>
      <c r="B207" s="1" t="str">
        <f>[1]Afgrødefordeling!$C$11</f>
        <v>Øvrige</v>
      </c>
      <c r="C207">
        <v>2050</v>
      </c>
      <c r="D207" t="s">
        <v>7</v>
      </c>
      <c r="E207" s="173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0</v>
      </c>
      <c r="H207" s="173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0</v>
      </c>
      <c r="I207" s="173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0</v>
      </c>
    </row>
    <row r="208" spans="1:10" x14ac:dyDescent="0.25">
      <c r="A208" t="s">
        <v>24</v>
      </c>
      <c r="B208" s="1" t="str">
        <f>[1]Afgrødefordeling!$C$12</f>
        <v>Frø</v>
      </c>
      <c r="C208">
        <v>2050</v>
      </c>
      <c r="D208" t="s">
        <v>7</v>
      </c>
      <c r="E208" s="173" t="str">
        <f t="shared" si="40"/>
        <v>OC12</v>
      </c>
      <c r="F208" t="str">
        <f t="shared" si="28"/>
        <v>Frø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0</v>
      </c>
      <c r="H208" s="173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0</v>
      </c>
      <c r="I208" s="173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0</v>
      </c>
      <c r="J208" s="76">
        <f t="shared" si="29"/>
        <v>0</v>
      </c>
    </row>
    <row r="209" spans="1:10" x14ac:dyDescent="0.25">
      <c r="A209" t="s">
        <v>24</v>
      </c>
      <c r="B209" s="1" t="str">
        <f>[1]Afgrødefordeling!$C$13</f>
        <v>Juletræer</v>
      </c>
      <c r="C209">
        <v>2050</v>
      </c>
      <c r="D209" t="s">
        <v>7</v>
      </c>
      <c r="E209" s="173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0</v>
      </c>
      <c r="H209" s="173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0</v>
      </c>
      <c r="I209" s="173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0</v>
      </c>
    </row>
    <row r="210" spans="1:10" x14ac:dyDescent="0.25">
      <c r="A210" t="s">
        <v>24</v>
      </c>
      <c r="B210" s="1" t="str">
        <f>[1]Afgrødefordeling!$C$14</f>
        <v>Pil &amp; poppel</v>
      </c>
      <c r="C210">
        <v>2050</v>
      </c>
      <c r="D210" t="s">
        <v>7</v>
      </c>
      <c r="E210" s="173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0</v>
      </c>
      <c r="H210" s="173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0</v>
      </c>
      <c r="I210" s="173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0</v>
      </c>
    </row>
    <row r="211" spans="1:10" x14ac:dyDescent="0.25">
      <c r="A211" t="s">
        <v>24</v>
      </c>
      <c r="B211" s="1" t="str">
        <f>[1]Afgrødefordeling!$C$15</f>
        <v>Permanent græs</v>
      </c>
      <c r="C211">
        <v>2050</v>
      </c>
      <c r="D211" t="s">
        <v>7</v>
      </c>
      <c r="E211" s="173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0</v>
      </c>
      <c r="H211" s="173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0</v>
      </c>
      <c r="I211" s="173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0</v>
      </c>
    </row>
    <row r="212" spans="1:10" x14ac:dyDescent="0.25">
      <c r="A212" t="s">
        <v>24</v>
      </c>
      <c r="B212" s="1" t="str">
        <f>[1]Afgrødefordeling!$C$2</f>
        <v>Korn</v>
      </c>
      <c r="C212">
        <v>2019</v>
      </c>
      <c r="D212" t="s">
        <v>8</v>
      </c>
      <c r="E212" s="173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3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3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25">
      <c r="A213" t="s">
        <v>24</v>
      </c>
      <c r="B213" s="1" t="str">
        <f>[1]Afgrødefordeling!$C$3</f>
        <v>Bælgsæd</v>
      </c>
      <c r="C213">
        <v>2019</v>
      </c>
      <c r="D213" t="s">
        <v>8</v>
      </c>
      <c r="E213" s="173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3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3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25">
      <c r="A214" t="s">
        <v>24</v>
      </c>
      <c r="B214" s="1" t="str">
        <f>[1]Afgrødefordeling!$C$4</f>
        <v>Raps</v>
      </c>
      <c r="C214">
        <v>2019</v>
      </c>
      <c r="D214" t="s">
        <v>8</v>
      </c>
      <c r="E214" s="173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3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3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25">
      <c r="A215" t="s">
        <v>24</v>
      </c>
      <c r="B215" s="1" t="str">
        <f>[1]Afgrødefordeling!$C$5</f>
        <v>Græs</v>
      </c>
      <c r="C215">
        <v>2019</v>
      </c>
      <c r="D215" t="s">
        <v>8</v>
      </c>
      <c r="E215" s="173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3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3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25">
      <c r="A216" t="s">
        <v>24</v>
      </c>
      <c r="B216" s="1" t="str">
        <f>[1]Afgrødefordeling!$C$6</f>
        <v>Grøntsager</v>
      </c>
      <c r="C216">
        <v>2019</v>
      </c>
      <c r="D216" t="s">
        <v>8</v>
      </c>
      <c r="E216" s="173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3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3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25">
      <c r="A217" t="s">
        <v>24</v>
      </c>
      <c r="B217" s="1" t="str">
        <f>[1]Afgrødefordeling!$C$7</f>
        <v>Kartofler</v>
      </c>
      <c r="C217">
        <v>2019</v>
      </c>
      <c r="D217" t="s">
        <v>8</v>
      </c>
      <c r="E217" s="173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3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3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25">
      <c r="A218" t="s">
        <v>24</v>
      </c>
      <c r="B218" s="1" t="str">
        <f>[1]Afgrødefordeling!$C$8</f>
        <v>Roer</v>
      </c>
      <c r="C218">
        <v>2019</v>
      </c>
      <c r="D218" t="s">
        <v>8</v>
      </c>
      <c r="E218" s="173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3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3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25">
      <c r="A219" t="s">
        <v>24</v>
      </c>
      <c r="B219" s="1" t="str">
        <f>[1]Afgrødefordeling!$C$9</f>
        <v>Majs</v>
      </c>
      <c r="C219">
        <v>2019</v>
      </c>
      <c r="D219" t="s">
        <v>8</v>
      </c>
      <c r="E219" s="173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3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3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25">
      <c r="A220" t="s">
        <v>24</v>
      </c>
      <c r="B220" s="1" t="str">
        <f>[1]Afgrødefordeling!$C$10</f>
        <v>Frugt</v>
      </c>
      <c r="C220">
        <v>2019</v>
      </c>
      <c r="D220" t="s">
        <v>8</v>
      </c>
      <c r="E220" s="173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3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3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25">
      <c r="A221" t="s">
        <v>24</v>
      </c>
      <c r="B221" s="1" t="str">
        <f>[1]Afgrødefordeling!$C$11</f>
        <v>Øvrige</v>
      </c>
      <c r="C221">
        <v>2019</v>
      </c>
      <c r="D221" t="s">
        <v>8</v>
      </c>
      <c r="E221" s="173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3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3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25">
      <c r="A222" t="s">
        <v>24</v>
      </c>
      <c r="B222" s="1" t="str">
        <f>[1]Afgrødefordeling!$C$12</f>
        <v>Frø</v>
      </c>
      <c r="C222">
        <v>2019</v>
      </c>
      <c r="D222" t="s">
        <v>8</v>
      </c>
      <c r="E222" s="173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3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3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25">
      <c r="A223" t="s">
        <v>24</v>
      </c>
      <c r="B223" s="1" t="str">
        <f>[1]Afgrødefordeling!$C$13</f>
        <v>Juletræer</v>
      </c>
      <c r="C223">
        <v>2019</v>
      </c>
      <c r="D223" t="s">
        <v>8</v>
      </c>
      <c r="E223" s="173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3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3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25">
      <c r="A224" t="s">
        <v>24</v>
      </c>
      <c r="B224" s="1" t="str">
        <f>[1]Afgrødefordeling!$C$14</f>
        <v>Pil &amp; poppel</v>
      </c>
      <c r="C224">
        <v>2019</v>
      </c>
      <c r="D224" t="s">
        <v>8</v>
      </c>
      <c r="E224" s="173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3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3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25">
      <c r="A225" t="s">
        <v>24</v>
      </c>
      <c r="B225" s="1" t="str">
        <f>[1]Afgrødefordeling!$C$15</f>
        <v>Permanent græs</v>
      </c>
      <c r="C225">
        <v>2019</v>
      </c>
      <c r="D225" t="s">
        <v>8</v>
      </c>
      <c r="E225" s="173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3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3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25">
      <c r="A226" t="s">
        <v>24</v>
      </c>
      <c r="B226" s="1" t="str">
        <f>[1]Afgrødefordeling!$C$2</f>
        <v>Korn</v>
      </c>
      <c r="C226">
        <v>2030</v>
      </c>
      <c r="D226" t="s">
        <v>8</v>
      </c>
      <c r="E226" s="173" t="str">
        <f t="shared" si="40"/>
        <v>OC12</v>
      </c>
      <c r="F226" t="str">
        <f t="shared" si="41"/>
        <v>Korn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0</v>
      </c>
      <c r="H226" s="173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0</v>
      </c>
      <c r="I226" s="173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0</v>
      </c>
      <c r="J226" s="76">
        <f t="shared" si="42"/>
        <v>0</v>
      </c>
    </row>
    <row r="227" spans="1:10" x14ac:dyDescent="0.25">
      <c r="A227" t="s">
        <v>24</v>
      </c>
      <c r="B227" s="1" t="str">
        <f>[1]Afgrødefordeling!$C$3</f>
        <v>Bælgsæd</v>
      </c>
      <c r="C227">
        <v>2030</v>
      </c>
      <c r="D227" t="s">
        <v>8</v>
      </c>
      <c r="E227" s="173" t="str">
        <f t="shared" si="40"/>
        <v>OC12</v>
      </c>
      <c r="F227" t="str">
        <f t="shared" si="41"/>
        <v>Bælgsæd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0</v>
      </c>
      <c r="H227" s="173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0</v>
      </c>
      <c r="I227" s="173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0</v>
      </c>
      <c r="J227" s="76">
        <f t="shared" si="42"/>
        <v>0</v>
      </c>
    </row>
    <row r="228" spans="1:10" x14ac:dyDescent="0.25">
      <c r="A228" t="s">
        <v>24</v>
      </c>
      <c r="B228" s="1" t="str">
        <f>[1]Afgrødefordeling!$C$4</f>
        <v>Raps</v>
      </c>
      <c r="C228">
        <v>2030</v>
      </c>
      <c r="D228" t="s">
        <v>8</v>
      </c>
      <c r="E228" s="173" t="str">
        <f t="shared" si="40"/>
        <v>OC12</v>
      </c>
      <c r="F228" t="str">
        <f t="shared" si="41"/>
        <v>Raps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0</v>
      </c>
      <c r="H228" s="173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0</v>
      </c>
      <c r="I228" s="173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0</v>
      </c>
      <c r="J228" s="76">
        <f t="shared" si="42"/>
        <v>0</v>
      </c>
    </row>
    <row r="229" spans="1:10" x14ac:dyDescent="0.25">
      <c r="A229" t="s">
        <v>24</v>
      </c>
      <c r="B229" s="1" t="str">
        <f>[1]Afgrødefordeling!$C$5</f>
        <v>Græs</v>
      </c>
      <c r="C229">
        <v>2030</v>
      </c>
      <c r="D229" t="s">
        <v>8</v>
      </c>
      <c r="E229" s="173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0</v>
      </c>
      <c r="H229" s="173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0</v>
      </c>
      <c r="I229" s="173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0</v>
      </c>
    </row>
    <row r="230" spans="1:10" x14ac:dyDescent="0.25">
      <c r="A230" t="s">
        <v>24</v>
      </c>
      <c r="B230" s="1" t="str">
        <f>[1]Afgrødefordeling!$C$6</f>
        <v>Grøntsager</v>
      </c>
      <c r="C230">
        <v>2030</v>
      </c>
      <c r="D230" t="s">
        <v>8</v>
      </c>
      <c r="E230" s="173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0</v>
      </c>
      <c r="H230" s="173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0</v>
      </c>
      <c r="I230" s="173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0</v>
      </c>
    </row>
    <row r="231" spans="1:10" x14ac:dyDescent="0.25">
      <c r="A231" t="s">
        <v>24</v>
      </c>
      <c r="B231" s="1" t="str">
        <f>[1]Afgrødefordeling!$C$7</f>
        <v>Kartofler</v>
      </c>
      <c r="C231">
        <v>2030</v>
      </c>
      <c r="D231" t="s">
        <v>8</v>
      </c>
      <c r="E231" s="173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0</v>
      </c>
      <c r="H231" s="173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0</v>
      </c>
      <c r="I231" s="173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0</v>
      </c>
    </row>
    <row r="232" spans="1:10" x14ac:dyDescent="0.25">
      <c r="A232" t="s">
        <v>24</v>
      </c>
      <c r="B232" s="1" t="str">
        <f>[1]Afgrødefordeling!$C$8</f>
        <v>Roer</v>
      </c>
      <c r="C232">
        <v>2030</v>
      </c>
      <c r="D232" t="s">
        <v>8</v>
      </c>
      <c r="E232" s="173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0</v>
      </c>
      <c r="H232" s="173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0</v>
      </c>
      <c r="I232" s="173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0</v>
      </c>
    </row>
    <row r="233" spans="1:10" x14ac:dyDescent="0.25">
      <c r="A233" t="s">
        <v>24</v>
      </c>
      <c r="B233" s="1" t="str">
        <f>[1]Afgrødefordeling!$C$9</f>
        <v>Majs</v>
      </c>
      <c r="C233">
        <v>2030</v>
      </c>
      <c r="D233" t="s">
        <v>8</v>
      </c>
      <c r="E233" s="173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0</v>
      </c>
      <c r="H233" s="173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0</v>
      </c>
      <c r="I233" s="173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0</v>
      </c>
    </row>
    <row r="234" spans="1:10" x14ac:dyDescent="0.25">
      <c r="A234" t="s">
        <v>24</v>
      </c>
      <c r="B234" s="1" t="str">
        <f>[1]Afgrødefordeling!$C$10</f>
        <v>Frugt</v>
      </c>
      <c r="C234">
        <v>2030</v>
      </c>
      <c r="D234" t="s">
        <v>8</v>
      </c>
      <c r="E234" s="173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0</v>
      </c>
      <c r="H234" s="173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0</v>
      </c>
      <c r="I234" s="173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0</v>
      </c>
    </row>
    <row r="235" spans="1:10" x14ac:dyDescent="0.25">
      <c r="A235" t="s">
        <v>24</v>
      </c>
      <c r="B235" s="1" t="str">
        <f>[1]Afgrødefordeling!$C$11</f>
        <v>Øvrige</v>
      </c>
      <c r="C235">
        <v>2030</v>
      </c>
      <c r="D235" t="s">
        <v>8</v>
      </c>
      <c r="E235" s="173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0</v>
      </c>
      <c r="H235" s="173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0</v>
      </c>
      <c r="I235" s="173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0</v>
      </c>
    </row>
    <row r="236" spans="1:10" x14ac:dyDescent="0.25">
      <c r="A236" t="s">
        <v>24</v>
      </c>
      <c r="B236" s="1" t="str">
        <f>[1]Afgrødefordeling!$C$12</f>
        <v>Frø</v>
      </c>
      <c r="C236">
        <v>2030</v>
      </c>
      <c r="D236" t="s">
        <v>8</v>
      </c>
      <c r="E236" s="173" t="str">
        <f t="shared" si="47"/>
        <v>OC12</v>
      </c>
      <c r="F236" t="str">
        <f t="shared" si="41"/>
        <v>Frø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0</v>
      </c>
      <c r="H236" s="173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0</v>
      </c>
      <c r="I236" s="173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0</v>
      </c>
      <c r="J236" s="76">
        <f t="shared" si="42"/>
        <v>0</v>
      </c>
    </row>
    <row r="237" spans="1:10" x14ac:dyDescent="0.25">
      <c r="A237" t="s">
        <v>24</v>
      </c>
      <c r="B237" s="1" t="str">
        <f>[1]Afgrødefordeling!$C$13</f>
        <v>Juletræer</v>
      </c>
      <c r="C237">
        <v>2030</v>
      </c>
      <c r="D237" t="s">
        <v>8</v>
      </c>
      <c r="E237" s="173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0</v>
      </c>
      <c r="H237" s="173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0</v>
      </c>
      <c r="I237" s="173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0</v>
      </c>
    </row>
    <row r="238" spans="1:10" x14ac:dyDescent="0.25">
      <c r="A238" t="s">
        <v>24</v>
      </c>
      <c r="B238" s="1" t="str">
        <f>[1]Afgrødefordeling!$C$14</f>
        <v>Pil &amp; poppel</v>
      </c>
      <c r="C238">
        <v>2030</v>
      </c>
      <c r="D238" t="s">
        <v>8</v>
      </c>
      <c r="E238" s="173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0</v>
      </c>
      <c r="H238" s="173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0</v>
      </c>
      <c r="I238" s="173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0</v>
      </c>
    </row>
    <row r="239" spans="1:10" x14ac:dyDescent="0.25">
      <c r="A239" t="s">
        <v>24</v>
      </c>
      <c r="B239" s="1" t="str">
        <f>[1]Afgrødefordeling!$C$15</f>
        <v>Permanent græs</v>
      </c>
      <c r="C239">
        <v>2030</v>
      </c>
      <c r="D239" t="s">
        <v>8</v>
      </c>
      <c r="E239" s="173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0</v>
      </c>
      <c r="H239" s="173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0</v>
      </c>
      <c r="I239" s="173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0</v>
      </c>
    </row>
    <row r="240" spans="1:10" x14ac:dyDescent="0.25">
      <c r="A240" t="s">
        <v>24</v>
      </c>
      <c r="B240" s="1" t="str">
        <f>[1]Afgrødefordeling!$C$2</f>
        <v>Korn</v>
      </c>
      <c r="C240">
        <v>2050</v>
      </c>
      <c r="D240" t="s">
        <v>8</v>
      </c>
      <c r="E240" s="173" t="str">
        <f t="shared" si="47"/>
        <v>OC12</v>
      </c>
      <c r="F240" t="str">
        <f t="shared" si="41"/>
        <v>Korn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0</v>
      </c>
      <c r="H240" s="173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0</v>
      </c>
      <c r="I240" s="173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0</v>
      </c>
      <c r="J240" s="76">
        <f t="shared" si="42"/>
        <v>0</v>
      </c>
    </row>
    <row r="241" spans="1:10" x14ac:dyDescent="0.25">
      <c r="A241" t="s">
        <v>24</v>
      </c>
      <c r="B241" s="1" t="str">
        <f>[1]Afgrødefordeling!$C$3</f>
        <v>Bælgsæd</v>
      </c>
      <c r="C241">
        <v>2050</v>
      </c>
      <c r="D241" t="s">
        <v>8</v>
      </c>
      <c r="E241" s="173" t="str">
        <f t="shared" si="47"/>
        <v>OC12</v>
      </c>
      <c r="F241" t="str">
        <f t="shared" si="41"/>
        <v>Bælgsæd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0</v>
      </c>
      <c r="H241" s="173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0</v>
      </c>
      <c r="I241" s="173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0</v>
      </c>
      <c r="J241" s="76">
        <f t="shared" si="42"/>
        <v>0</v>
      </c>
    </row>
    <row r="242" spans="1:10" x14ac:dyDescent="0.25">
      <c r="A242" t="s">
        <v>24</v>
      </c>
      <c r="B242" s="1" t="str">
        <f>[1]Afgrødefordeling!$C$4</f>
        <v>Raps</v>
      </c>
      <c r="C242">
        <v>2050</v>
      </c>
      <c r="D242" t="s">
        <v>8</v>
      </c>
      <c r="E242" s="173" t="str">
        <f t="shared" si="47"/>
        <v>OC12</v>
      </c>
      <c r="F242" t="str">
        <f t="shared" si="41"/>
        <v>Raps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0</v>
      </c>
      <c r="H242" s="173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0</v>
      </c>
      <c r="I242" s="173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0</v>
      </c>
      <c r="J242" s="76">
        <f t="shared" si="42"/>
        <v>0</v>
      </c>
    </row>
    <row r="243" spans="1:10" x14ac:dyDescent="0.25">
      <c r="A243" t="s">
        <v>24</v>
      </c>
      <c r="B243" s="1" t="str">
        <f>[1]Afgrødefordeling!$C$5</f>
        <v>Græs</v>
      </c>
      <c r="C243">
        <v>2050</v>
      </c>
      <c r="D243" t="s">
        <v>8</v>
      </c>
      <c r="E243" s="173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0</v>
      </c>
      <c r="H243" s="173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0</v>
      </c>
      <c r="I243" s="173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0</v>
      </c>
    </row>
    <row r="244" spans="1:10" x14ac:dyDescent="0.25">
      <c r="A244" t="s">
        <v>24</v>
      </c>
      <c r="B244" s="1" t="str">
        <f>[1]Afgrødefordeling!$C$6</f>
        <v>Grøntsager</v>
      </c>
      <c r="C244">
        <v>2050</v>
      </c>
      <c r="D244" t="s">
        <v>8</v>
      </c>
      <c r="E244" s="173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0</v>
      </c>
      <c r="H244" s="173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0</v>
      </c>
      <c r="I244" s="173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0</v>
      </c>
    </row>
    <row r="245" spans="1:10" x14ac:dyDescent="0.25">
      <c r="A245" t="s">
        <v>24</v>
      </c>
      <c r="B245" s="1" t="str">
        <f>[1]Afgrødefordeling!$C$7</f>
        <v>Kartofler</v>
      </c>
      <c r="C245">
        <v>2050</v>
      </c>
      <c r="D245" t="s">
        <v>8</v>
      </c>
      <c r="E245" s="173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0</v>
      </c>
      <c r="H245" s="173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0</v>
      </c>
      <c r="I245" s="173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0</v>
      </c>
    </row>
    <row r="246" spans="1:10" x14ac:dyDescent="0.25">
      <c r="A246" t="s">
        <v>24</v>
      </c>
      <c r="B246" s="1" t="str">
        <f>[1]Afgrødefordeling!$C$8</f>
        <v>Roer</v>
      </c>
      <c r="C246">
        <v>2050</v>
      </c>
      <c r="D246" t="s">
        <v>8</v>
      </c>
      <c r="E246" s="173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0</v>
      </c>
      <c r="H246" s="173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0</v>
      </c>
      <c r="I246" s="173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0</v>
      </c>
    </row>
    <row r="247" spans="1:10" x14ac:dyDescent="0.25">
      <c r="A247" t="s">
        <v>24</v>
      </c>
      <c r="B247" s="1" t="str">
        <f>[1]Afgrødefordeling!$C$9</f>
        <v>Majs</v>
      </c>
      <c r="C247">
        <v>2050</v>
      </c>
      <c r="D247" t="s">
        <v>8</v>
      </c>
      <c r="E247" s="173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0</v>
      </c>
      <c r="H247" s="173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0</v>
      </c>
      <c r="I247" s="173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0</v>
      </c>
    </row>
    <row r="248" spans="1:10" x14ac:dyDescent="0.25">
      <c r="A248" t="s">
        <v>24</v>
      </c>
      <c r="B248" s="1" t="str">
        <f>[1]Afgrødefordeling!$C$10</f>
        <v>Frugt</v>
      </c>
      <c r="C248">
        <v>2050</v>
      </c>
      <c r="D248" t="s">
        <v>8</v>
      </c>
      <c r="E248" s="173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0</v>
      </c>
      <c r="H248" s="173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0</v>
      </c>
      <c r="I248" s="173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0</v>
      </c>
    </row>
    <row r="249" spans="1:10" x14ac:dyDescent="0.25">
      <c r="A249" t="s">
        <v>24</v>
      </c>
      <c r="B249" s="1" t="str">
        <f>[1]Afgrødefordeling!$C$11</f>
        <v>Øvrige</v>
      </c>
      <c r="C249">
        <v>2050</v>
      </c>
      <c r="D249" t="s">
        <v>8</v>
      </c>
      <c r="E249" s="173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0</v>
      </c>
      <c r="H249" s="173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0</v>
      </c>
      <c r="I249" s="173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0</v>
      </c>
    </row>
    <row r="250" spans="1:10" x14ac:dyDescent="0.25">
      <c r="A250" t="s">
        <v>24</v>
      </c>
      <c r="B250" s="1" t="str">
        <f>[1]Afgrødefordeling!$C$12</f>
        <v>Frø</v>
      </c>
      <c r="C250">
        <v>2050</v>
      </c>
      <c r="D250" t="s">
        <v>8</v>
      </c>
      <c r="E250" s="173" t="str">
        <f t="shared" si="47"/>
        <v>OC12</v>
      </c>
      <c r="F250" t="str">
        <f t="shared" si="41"/>
        <v>Frø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0</v>
      </c>
      <c r="H250" s="173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0</v>
      </c>
      <c r="I250" s="173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0</v>
      </c>
      <c r="J250" s="76">
        <f t="shared" si="42"/>
        <v>0</v>
      </c>
    </row>
    <row r="251" spans="1:10" x14ac:dyDescent="0.25">
      <c r="A251" t="s">
        <v>24</v>
      </c>
      <c r="B251" s="1" t="str">
        <f>[1]Afgrødefordeling!$C$13</f>
        <v>Juletræer</v>
      </c>
      <c r="C251">
        <v>2050</v>
      </c>
      <c r="D251" t="s">
        <v>8</v>
      </c>
      <c r="E251" s="173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0</v>
      </c>
      <c r="H251" s="173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0</v>
      </c>
      <c r="I251" s="173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0</v>
      </c>
    </row>
    <row r="252" spans="1:10" x14ac:dyDescent="0.25">
      <c r="A252" t="s">
        <v>24</v>
      </c>
      <c r="B252" s="1" t="str">
        <f>[1]Afgrødefordeling!$C$14</f>
        <v>Pil &amp; poppel</v>
      </c>
      <c r="C252">
        <v>2050</v>
      </c>
      <c r="D252" t="s">
        <v>8</v>
      </c>
      <c r="E252" s="173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0</v>
      </c>
      <c r="H252" s="173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0</v>
      </c>
      <c r="I252" s="173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0</v>
      </c>
    </row>
    <row r="253" spans="1:10" x14ac:dyDescent="0.25">
      <c r="A253" t="s">
        <v>24</v>
      </c>
      <c r="B253" s="1" t="str">
        <f>[1]Afgrødefordeling!$C$15</f>
        <v>Permanent græs</v>
      </c>
      <c r="C253">
        <v>2050</v>
      </c>
      <c r="D253" t="s">
        <v>8</v>
      </c>
      <c r="E253" s="173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0</v>
      </c>
      <c r="H253" s="173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0</v>
      </c>
      <c r="I253" s="173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0</v>
      </c>
    </row>
    <row r="254" spans="1:10" x14ac:dyDescent="0.25">
      <c r="A254" t="s">
        <v>25</v>
      </c>
      <c r="B254" s="1" t="str">
        <f>[1]Afgrødefordeling!$C$2</f>
        <v>Korn</v>
      </c>
      <c r="C254">
        <v>2019</v>
      </c>
      <c r="D254" t="s">
        <v>7</v>
      </c>
      <c r="E254" s="173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3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3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25">
      <c r="A255" t="s">
        <v>25</v>
      </c>
      <c r="B255" s="1" t="str">
        <f>[1]Afgrødefordeling!$C$3</f>
        <v>Bælgsæd</v>
      </c>
      <c r="C255">
        <v>2019</v>
      </c>
      <c r="D255" t="s">
        <v>7</v>
      </c>
      <c r="E255" s="173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3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3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25">
      <c r="A256" t="s">
        <v>25</v>
      </c>
      <c r="B256" s="1" t="str">
        <f>[1]Afgrødefordeling!$C$4</f>
        <v>Raps</v>
      </c>
      <c r="C256">
        <v>2019</v>
      </c>
      <c r="D256" t="s">
        <v>7</v>
      </c>
      <c r="E256" s="173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3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3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25">
      <c r="A257" t="s">
        <v>25</v>
      </c>
      <c r="B257" s="1" t="str">
        <f>[1]Afgrødefordeling!$C$5</f>
        <v>Græs</v>
      </c>
      <c r="C257">
        <v>2019</v>
      </c>
      <c r="D257" t="s">
        <v>7</v>
      </c>
      <c r="E257" s="173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3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3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25">
      <c r="A258" t="s">
        <v>25</v>
      </c>
      <c r="B258" s="1" t="str">
        <f>[1]Afgrødefordeling!$C$6</f>
        <v>Grøntsager</v>
      </c>
      <c r="C258">
        <v>2019</v>
      </c>
      <c r="D258" t="s">
        <v>7</v>
      </c>
      <c r="E258" s="173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3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3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25">
      <c r="A259" t="s">
        <v>25</v>
      </c>
      <c r="B259" s="1" t="str">
        <f>[1]Afgrødefordeling!$C$7</f>
        <v>Kartofler</v>
      </c>
      <c r="C259">
        <v>2019</v>
      </c>
      <c r="D259" t="s">
        <v>7</v>
      </c>
      <c r="E259" s="173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3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3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25">
      <c r="A260" t="s">
        <v>25</v>
      </c>
      <c r="B260" s="1" t="str">
        <f>[1]Afgrødefordeling!$C$8</f>
        <v>Roer</v>
      </c>
      <c r="C260">
        <v>2019</v>
      </c>
      <c r="D260" t="s">
        <v>7</v>
      </c>
      <c r="E260" s="173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3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3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25">
      <c r="A261" t="s">
        <v>25</v>
      </c>
      <c r="B261" s="1" t="str">
        <f>[1]Afgrødefordeling!$C$9</f>
        <v>Majs</v>
      </c>
      <c r="C261">
        <v>2019</v>
      </c>
      <c r="D261" t="s">
        <v>7</v>
      </c>
      <c r="E261" s="173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3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3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25">
      <c r="A262" t="s">
        <v>25</v>
      </c>
      <c r="B262" s="1" t="str">
        <f>[1]Afgrødefordeling!$C$10</f>
        <v>Frugt</v>
      </c>
      <c r="C262">
        <v>2019</v>
      </c>
      <c r="D262" t="s">
        <v>7</v>
      </c>
      <c r="E262" s="173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3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3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25">
      <c r="A263" t="s">
        <v>25</v>
      </c>
      <c r="B263" s="1" t="str">
        <f>[1]Afgrødefordeling!$C$11</f>
        <v>Øvrige</v>
      </c>
      <c r="C263">
        <v>2019</v>
      </c>
      <c r="D263" t="s">
        <v>7</v>
      </c>
      <c r="E263" s="173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3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3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25">
      <c r="A264" t="s">
        <v>25</v>
      </c>
      <c r="B264" s="1" t="str">
        <f>[1]Afgrødefordeling!$C$12</f>
        <v>Frø</v>
      </c>
      <c r="C264">
        <v>2019</v>
      </c>
      <c r="D264" t="s">
        <v>7</v>
      </c>
      <c r="E264" s="173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3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3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25">
      <c r="A265" t="s">
        <v>25</v>
      </c>
      <c r="B265" s="1" t="str">
        <f>[1]Afgrødefordeling!$C$13</f>
        <v>Juletræer</v>
      </c>
      <c r="C265">
        <v>2019</v>
      </c>
      <c r="D265" t="s">
        <v>7</v>
      </c>
      <c r="E265" s="173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3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3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25">
      <c r="A266" t="s">
        <v>25</v>
      </c>
      <c r="B266" s="1" t="str">
        <f>[1]Afgrødefordeling!$C$14</f>
        <v>Pil &amp; poppel</v>
      </c>
      <c r="C266">
        <v>2019</v>
      </c>
      <c r="D266" t="s">
        <v>7</v>
      </c>
      <c r="E266" s="173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3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3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25">
      <c r="A267" t="s">
        <v>25</v>
      </c>
      <c r="B267" s="1" t="str">
        <f>[1]Afgrødefordeling!$C$15</f>
        <v>Permanent græs</v>
      </c>
      <c r="C267">
        <v>2019</v>
      </c>
      <c r="D267" t="s">
        <v>7</v>
      </c>
      <c r="E267" s="173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3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3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25">
      <c r="A268" t="s">
        <v>25</v>
      </c>
      <c r="B268" s="1" t="str">
        <f>[1]Afgrødefordeling!$C$2</f>
        <v>Korn</v>
      </c>
      <c r="C268">
        <v>2030</v>
      </c>
      <c r="D268" t="s">
        <v>7</v>
      </c>
      <c r="E268" s="173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149841.88011277147</v>
      </c>
      <c r="H268" s="173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1050391.579590528</v>
      </c>
      <c r="I268" s="173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340852.06757712638</v>
      </c>
      <c r="J268" s="76">
        <f t="shared" si="42"/>
        <v>340852.06757712638</v>
      </c>
    </row>
    <row r="269" spans="1:10" x14ac:dyDescent="0.25">
      <c r="A269" t="s">
        <v>25</v>
      </c>
      <c r="B269" s="1" t="str">
        <f>[1]Afgrødefordeling!$C$3</f>
        <v>Bælgsæd</v>
      </c>
      <c r="C269">
        <v>2030</v>
      </c>
      <c r="D269" t="s">
        <v>7</v>
      </c>
      <c r="E269" s="173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3265.7793246486704</v>
      </c>
      <c r="H269" s="173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12605.908193143869</v>
      </c>
      <c r="I269" s="173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3720.6697267789841</v>
      </c>
      <c r="J269" s="76">
        <f t="shared" si="42"/>
        <v>3720.6697267789841</v>
      </c>
    </row>
    <row r="270" spans="1:10" x14ac:dyDescent="0.25">
      <c r="A270" t="s">
        <v>25</v>
      </c>
      <c r="B270" s="1" t="str">
        <f>[1]Afgrødefordeling!$C$4</f>
        <v>Raps</v>
      </c>
      <c r="C270">
        <v>2030</v>
      </c>
      <c r="D270" t="s">
        <v>7</v>
      </c>
      <c r="E270" s="173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20716.164134757324</v>
      </c>
      <c r="H270" s="173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91151.122192932235</v>
      </c>
      <c r="I270" s="173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48401.245884447009</v>
      </c>
      <c r="J270" s="76">
        <f t="shared" si="42"/>
        <v>48401.245884447009</v>
      </c>
    </row>
    <row r="271" spans="1:10" x14ac:dyDescent="0.25">
      <c r="A271" t="s">
        <v>25</v>
      </c>
      <c r="B271" s="1" t="str">
        <f>[1]Afgrødefordeling!$C$5</f>
        <v>Græs</v>
      </c>
      <c r="C271">
        <v>2030</v>
      </c>
      <c r="D271" t="s">
        <v>7</v>
      </c>
      <c r="E271" s="173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12585.585572688986</v>
      </c>
      <c r="H271" s="173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624496.75611682748</v>
      </c>
      <c r="I271" s="173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624496.75611682748</v>
      </c>
    </row>
    <row r="272" spans="1:10" x14ac:dyDescent="0.25">
      <c r="A272" t="s">
        <v>25</v>
      </c>
      <c r="B272" s="1" t="str">
        <f>[1]Afgrødefordeling!$C$6</f>
        <v>Grøntsager</v>
      </c>
      <c r="C272">
        <v>2030</v>
      </c>
      <c r="D272" t="s">
        <v>7</v>
      </c>
      <c r="E272" s="173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1972.1645512572102</v>
      </c>
      <c r="H272" s="173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40922.414438587119</v>
      </c>
      <c r="I272" s="173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40922.414438587119</v>
      </c>
    </row>
    <row r="273" spans="1:10" x14ac:dyDescent="0.25">
      <c r="A273" t="s">
        <v>25</v>
      </c>
      <c r="B273" s="1" t="str">
        <f>[1]Afgrødefordeling!$C$7</f>
        <v>Kartofler</v>
      </c>
      <c r="C273">
        <v>2030</v>
      </c>
      <c r="D273" t="s">
        <v>7</v>
      </c>
      <c r="E273" s="173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1265.1484015207616</v>
      </c>
      <c r="H273" s="173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53731.990576757424</v>
      </c>
      <c r="I273" s="173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53731.990576757424</v>
      </c>
    </row>
    <row r="274" spans="1:10" x14ac:dyDescent="0.25">
      <c r="A274" t="s">
        <v>25</v>
      </c>
      <c r="B274" s="1" t="str">
        <f>[1]Afgrødefordeling!$C$8</f>
        <v>Roer</v>
      </c>
      <c r="C274">
        <v>2030</v>
      </c>
      <c r="D274" t="s">
        <v>7</v>
      </c>
      <c r="E274" s="173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3122.1791080683429</v>
      </c>
      <c r="H274" s="173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253688.70245259788</v>
      </c>
      <c r="I274" s="173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253688.70245259788</v>
      </c>
    </row>
    <row r="275" spans="1:10" x14ac:dyDescent="0.25">
      <c r="A275" t="s">
        <v>25</v>
      </c>
      <c r="B275" s="1" t="str">
        <f>[1]Afgrødefordeling!$C$9</f>
        <v>Majs</v>
      </c>
      <c r="C275">
        <v>2030</v>
      </c>
      <c r="D275" t="s">
        <v>7</v>
      </c>
      <c r="E275" s="173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3719.8713198652576</v>
      </c>
      <c r="H275" s="173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165571.47244720266</v>
      </c>
      <c r="I275" s="173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165571.47244720266</v>
      </c>
    </row>
    <row r="276" spans="1:10" x14ac:dyDescent="0.25">
      <c r="A276" t="s">
        <v>25</v>
      </c>
      <c r="B276" s="1" t="str">
        <f>[1]Afgrødefordeling!$C$10</f>
        <v>Frugt</v>
      </c>
      <c r="C276">
        <v>2030</v>
      </c>
      <c r="D276" t="s">
        <v>7</v>
      </c>
      <c r="E276" s="173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10895.352017639287</v>
      </c>
      <c r="H276" s="173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92501.538629757561</v>
      </c>
      <c r="I276" s="173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92501.538629757561</v>
      </c>
    </row>
    <row r="277" spans="1:10" x14ac:dyDescent="0.25">
      <c r="A277" t="s">
        <v>25</v>
      </c>
      <c r="B277" s="1" t="str">
        <f>[1]Afgrødefordeling!$C$11</f>
        <v>Øvrige</v>
      </c>
      <c r="C277">
        <v>2030</v>
      </c>
      <c r="D277" t="s">
        <v>7</v>
      </c>
      <c r="E277" s="173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6180.4056844499446</v>
      </c>
      <c r="H277" s="173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184151.01863154408</v>
      </c>
      <c r="I277" s="173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184151.01863154408</v>
      </c>
    </row>
    <row r="278" spans="1:10" x14ac:dyDescent="0.25">
      <c r="A278" t="s">
        <v>25</v>
      </c>
      <c r="B278" s="1" t="str">
        <f>[1]Afgrødefordeling!$C$12</f>
        <v>Frø</v>
      </c>
      <c r="C278">
        <v>2030</v>
      </c>
      <c r="D278" t="s">
        <v>7</v>
      </c>
      <c r="E278" s="173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19121.992898738237</v>
      </c>
      <c r="H278" s="173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273231.49397409742</v>
      </c>
      <c r="I278" s="173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45127.903241022243</v>
      </c>
      <c r="J278" s="76">
        <f t="shared" si="55"/>
        <v>45127.903241022243</v>
      </c>
    </row>
    <row r="279" spans="1:10" x14ac:dyDescent="0.25">
      <c r="A279" t="s">
        <v>25</v>
      </c>
      <c r="B279" s="1" t="str">
        <f>[1]Afgrødefordeling!$C$13</f>
        <v>Juletræer</v>
      </c>
      <c r="C279">
        <v>2030</v>
      </c>
      <c r="D279" t="s">
        <v>7</v>
      </c>
      <c r="E279" s="173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1356.3029011647714</v>
      </c>
      <c r="H279" s="173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67815.145058238573</v>
      </c>
      <c r="I279" s="173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67815.145058238573</v>
      </c>
    </row>
    <row r="280" spans="1:10" x14ac:dyDescent="0.25">
      <c r="A280" t="s">
        <v>25</v>
      </c>
      <c r="B280" s="1" t="str">
        <f>[1]Afgrødefordeling!$C$14</f>
        <v>Pil &amp; poppel</v>
      </c>
      <c r="C280">
        <v>2030</v>
      </c>
      <c r="D280" t="s">
        <v>7</v>
      </c>
      <c r="E280" s="173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644.6996597846429</v>
      </c>
      <c r="H280" s="173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15724.381945966901</v>
      </c>
      <c r="I280" s="173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15724.381945966901</v>
      </c>
    </row>
    <row r="281" spans="1:10" x14ac:dyDescent="0.25">
      <c r="A281" t="s">
        <v>25</v>
      </c>
      <c r="B281" s="1" t="str">
        <f>[1]Afgrødefordeling!$C$15</f>
        <v>Permanent græs</v>
      </c>
      <c r="C281">
        <v>2030</v>
      </c>
      <c r="D281" t="s">
        <v>7</v>
      </c>
      <c r="E281" s="173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16057.66871242961</v>
      </c>
      <c r="H281" s="173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221435.25154440431</v>
      </c>
      <c r="I281" s="173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221435.25154440431</v>
      </c>
    </row>
    <row r="282" spans="1:10" x14ac:dyDescent="0.25">
      <c r="A282" t="s">
        <v>25</v>
      </c>
      <c r="B282" s="1" t="str">
        <f>[1]Afgrødefordeling!$C$2</f>
        <v>Korn</v>
      </c>
      <c r="C282">
        <v>2050</v>
      </c>
      <c r="D282" t="s">
        <v>7</v>
      </c>
      <c r="E282" s="173" t="str">
        <f t="shared" si="52"/>
        <v>JB1-10</v>
      </c>
      <c r="F282" t="str">
        <f t="shared" si="54"/>
        <v>Korn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0</v>
      </c>
      <c r="H282" s="173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0</v>
      </c>
      <c r="I282" s="173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0</v>
      </c>
      <c r="J282" s="76">
        <f t="shared" si="55"/>
        <v>0</v>
      </c>
    </row>
    <row r="283" spans="1:10" x14ac:dyDescent="0.25">
      <c r="A283" t="s">
        <v>25</v>
      </c>
      <c r="B283" s="1" t="str">
        <f>[1]Afgrødefordeling!$C$3</f>
        <v>Bælgsæd</v>
      </c>
      <c r="C283">
        <v>2050</v>
      </c>
      <c r="D283" t="s">
        <v>7</v>
      </c>
      <c r="E283" s="173" t="str">
        <f t="shared" si="52"/>
        <v>JB1-10</v>
      </c>
      <c r="F283" t="str">
        <f t="shared" si="54"/>
        <v>Bælgsæd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0</v>
      </c>
      <c r="H283" s="173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0</v>
      </c>
      <c r="I283" s="173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0</v>
      </c>
      <c r="J283" s="76">
        <f t="shared" si="55"/>
        <v>0</v>
      </c>
    </row>
    <row r="284" spans="1:10" x14ac:dyDescent="0.25">
      <c r="A284" t="s">
        <v>25</v>
      </c>
      <c r="B284" s="1" t="str">
        <f>[1]Afgrødefordeling!$C$4</f>
        <v>Raps</v>
      </c>
      <c r="C284">
        <v>2050</v>
      </c>
      <c r="D284" t="s">
        <v>7</v>
      </c>
      <c r="E284" s="173" t="str">
        <f t="shared" si="52"/>
        <v>JB1-10</v>
      </c>
      <c r="F284" t="str">
        <f t="shared" si="54"/>
        <v>Raps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0</v>
      </c>
      <c r="H284" s="173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0</v>
      </c>
      <c r="I284" s="173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0</v>
      </c>
      <c r="J284" s="76">
        <f t="shared" si="55"/>
        <v>0</v>
      </c>
    </row>
    <row r="285" spans="1:10" x14ac:dyDescent="0.25">
      <c r="A285" t="s">
        <v>25</v>
      </c>
      <c r="B285" s="1" t="str">
        <f>[1]Afgrødefordeling!$C$5</f>
        <v>Græs</v>
      </c>
      <c r="C285">
        <v>2050</v>
      </c>
      <c r="D285" t="s">
        <v>7</v>
      </c>
      <c r="E285" s="173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0</v>
      </c>
      <c r="H285" s="173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0</v>
      </c>
      <c r="I285" s="173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0</v>
      </c>
    </row>
    <row r="286" spans="1:10" x14ac:dyDescent="0.25">
      <c r="A286" t="s">
        <v>25</v>
      </c>
      <c r="B286" s="1" t="str">
        <f>[1]Afgrødefordeling!$C$6</f>
        <v>Grøntsager</v>
      </c>
      <c r="C286">
        <v>2050</v>
      </c>
      <c r="D286" t="s">
        <v>7</v>
      </c>
      <c r="E286" s="173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0</v>
      </c>
      <c r="H286" s="173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0</v>
      </c>
      <c r="I286" s="173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0</v>
      </c>
    </row>
    <row r="287" spans="1:10" x14ac:dyDescent="0.25">
      <c r="A287" t="s">
        <v>25</v>
      </c>
      <c r="B287" s="1" t="str">
        <f>[1]Afgrødefordeling!$C$7</f>
        <v>Kartofler</v>
      </c>
      <c r="C287">
        <v>2050</v>
      </c>
      <c r="D287" t="s">
        <v>7</v>
      </c>
      <c r="E287" s="173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0</v>
      </c>
      <c r="H287" s="173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0</v>
      </c>
      <c r="I287" s="173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0</v>
      </c>
    </row>
    <row r="288" spans="1:10" x14ac:dyDescent="0.25">
      <c r="A288" t="s">
        <v>25</v>
      </c>
      <c r="B288" s="1" t="str">
        <f>[1]Afgrødefordeling!$C$8</f>
        <v>Roer</v>
      </c>
      <c r="C288">
        <v>2050</v>
      </c>
      <c r="D288" t="s">
        <v>7</v>
      </c>
      <c r="E288" s="173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0</v>
      </c>
      <c r="H288" s="173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0</v>
      </c>
      <c r="I288" s="173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0</v>
      </c>
    </row>
    <row r="289" spans="1:10" x14ac:dyDescent="0.25">
      <c r="A289" t="s">
        <v>25</v>
      </c>
      <c r="B289" s="1" t="str">
        <f>[1]Afgrødefordeling!$C$9</f>
        <v>Majs</v>
      </c>
      <c r="C289">
        <v>2050</v>
      </c>
      <c r="D289" t="s">
        <v>7</v>
      </c>
      <c r="E289" s="173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0</v>
      </c>
      <c r="H289" s="173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0</v>
      </c>
      <c r="I289" s="173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0</v>
      </c>
    </row>
    <row r="290" spans="1:10" x14ac:dyDescent="0.25">
      <c r="A290" t="s">
        <v>25</v>
      </c>
      <c r="B290" s="1" t="str">
        <f>[1]Afgrødefordeling!$C$10</f>
        <v>Frugt</v>
      </c>
      <c r="C290">
        <v>2050</v>
      </c>
      <c r="D290" t="s">
        <v>7</v>
      </c>
      <c r="E290" s="173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0</v>
      </c>
      <c r="H290" s="173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0</v>
      </c>
      <c r="I290" s="173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0</v>
      </c>
    </row>
    <row r="291" spans="1:10" x14ac:dyDescent="0.25">
      <c r="A291" t="s">
        <v>25</v>
      </c>
      <c r="B291" s="1" t="str">
        <f>[1]Afgrødefordeling!$C$11</f>
        <v>Øvrige</v>
      </c>
      <c r="C291">
        <v>2050</v>
      </c>
      <c r="D291" t="s">
        <v>7</v>
      </c>
      <c r="E291" s="173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0</v>
      </c>
      <c r="H291" s="173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0</v>
      </c>
      <c r="I291" s="173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0</v>
      </c>
    </row>
    <row r="292" spans="1:10" x14ac:dyDescent="0.25">
      <c r="A292" t="s">
        <v>25</v>
      </c>
      <c r="B292" s="1" t="str">
        <f>[1]Afgrødefordeling!$C$12</f>
        <v>Frø</v>
      </c>
      <c r="C292">
        <v>2050</v>
      </c>
      <c r="D292" t="s">
        <v>7</v>
      </c>
      <c r="E292" s="173" t="str">
        <f t="shared" si="56"/>
        <v>JB1-10</v>
      </c>
      <c r="F292" t="str">
        <f t="shared" si="54"/>
        <v>Frø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0</v>
      </c>
      <c r="H292" s="173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0</v>
      </c>
      <c r="I292" s="173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0</v>
      </c>
      <c r="J292" s="76">
        <f t="shared" si="55"/>
        <v>0</v>
      </c>
    </row>
    <row r="293" spans="1:10" x14ac:dyDescent="0.25">
      <c r="A293" t="s">
        <v>25</v>
      </c>
      <c r="B293" s="1" t="str">
        <f>[1]Afgrødefordeling!$C$13</f>
        <v>Juletræer</v>
      </c>
      <c r="C293">
        <v>2050</v>
      </c>
      <c r="D293" t="s">
        <v>7</v>
      </c>
      <c r="E293" s="173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0</v>
      </c>
      <c r="H293" s="173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0</v>
      </c>
      <c r="I293" s="173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0</v>
      </c>
    </row>
    <row r="294" spans="1:10" x14ac:dyDescent="0.25">
      <c r="A294" t="s">
        <v>25</v>
      </c>
      <c r="B294" s="1" t="str">
        <f>[1]Afgrødefordeling!$C$14</f>
        <v>Pil &amp; poppel</v>
      </c>
      <c r="C294">
        <v>2050</v>
      </c>
      <c r="D294" t="s">
        <v>7</v>
      </c>
      <c r="E294" s="173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0</v>
      </c>
      <c r="H294" s="173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0</v>
      </c>
      <c r="I294" s="173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0</v>
      </c>
    </row>
    <row r="295" spans="1:10" x14ac:dyDescent="0.25">
      <c r="A295" t="s">
        <v>25</v>
      </c>
      <c r="B295" s="1" t="str">
        <f>[1]Afgrødefordeling!$C$15</f>
        <v>Permanent græs</v>
      </c>
      <c r="C295">
        <v>2050</v>
      </c>
      <c r="D295" t="s">
        <v>7</v>
      </c>
      <c r="E295" s="173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0</v>
      </c>
      <c r="H295" s="173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0</v>
      </c>
      <c r="I295" s="173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0</v>
      </c>
    </row>
    <row r="296" spans="1:10" x14ac:dyDescent="0.25">
      <c r="A296" t="s">
        <v>25</v>
      </c>
      <c r="B296" s="1" t="str">
        <f>[1]Afgrødefordeling!$C$2</f>
        <v>Korn</v>
      </c>
      <c r="C296">
        <v>2019</v>
      </c>
      <c r="D296" t="s">
        <v>8</v>
      </c>
      <c r="E296" s="173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3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3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25">
      <c r="A297" t="s">
        <v>25</v>
      </c>
      <c r="B297" s="1" t="str">
        <f>[1]Afgrødefordeling!$C$3</f>
        <v>Bælgsæd</v>
      </c>
      <c r="C297">
        <v>2019</v>
      </c>
      <c r="D297" t="s">
        <v>8</v>
      </c>
      <c r="E297" s="173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3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3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25">
      <c r="A298" t="s">
        <v>25</v>
      </c>
      <c r="B298" s="1" t="str">
        <f>[1]Afgrødefordeling!$C$4</f>
        <v>Raps</v>
      </c>
      <c r="C298">
        <v>2019</v>
      </c>
      <c r="D298" t="s">
        <v>8</v>
      </c>
      <c r="E298" s="173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3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3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25">
      <c r="A299" t="s">
        <v>25</v>
      </c>
      <c r="B299" s="1" t="str">
        <f>[1]Afgrødefordeling!$C$5</f>
        <v>Græs</v>
      </c>
      <c r="C299">
        <v>2019</v>
      </c>
      <c r="D299" t="s">
        <v>8</v>
      </c>
      <c r="E299" s="173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3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3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25">
      <c r="A300" t="s">
        <v>25</v>
      </c>
      <c r="B300" s="1" t="str">
        <f>[1]Afgrødefordeling!$C$6</f>
        <v>Grøntsager</v>
      </c>
      <c r="C300">
        <v>2019</v>
      </c>
      <c r="D300" t="s">
        <v>8</v>
      </c>
      <c r="E300" s="173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3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3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25">
      <c r="A301" t="s">
        <v>25</v>
      </c>
      <c r="B301" s="1" t="str">
        <f>[1]Afgrødefordeling!$C$7</f>
        <v>Kartofler</v>
      </c>
      <c r="C301">
        <v>2019</v>
      </c>
      <c r="D301" t="s">
        <v>8</v>
      </c>
      <c r="E301" s="173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3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3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25">
      <c r="A302" t="s">
        <v>25</v>
      </c>
      <c r="B302" s="1" t="str">
        <f>[1]Afgrødefordeling!$C$8</f>
        <v>Roer</v>
      </c>
      <c r="C302">
        <v>2019</v>
      </c>
      <c r="D302" t="s">
        <v>8</v>
      </c>
      <c r="E302" s="173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3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3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25">
      <c r="A303" t="s">
        <v>25</v>
      </c>
      <c r="B303" s="1" t="str">
        <f>[1]Afgrødefordeling!$C$9</f>
        <v>Majs</v>
      </c>
      <c r="C303">
        <v>2019</v>
      </c>
      <c r="D303" t="s">
        <v>8</v>
      </c>
      <c r="E303" s="173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3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3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25">
      <c r="A304" t="s">
        <v>25</v>
      </c>
      <c r="B304" s="1" t="str">
        <f>[1]Afgrødefordeling!$C$10</f>
        <v>Frugt</v>
      </c>
      <c r="C304">
        <v>2019</v>
      </c>
      <c r="D304" t="s">
        <v>8</v>
      </c>
      <c r="E304" s="173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3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3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25">
      <c r="A305" t="s">
        <v>25</v>
      </c>
      <c r="B305" s="1" t="str">
        <f>[1]Afgrødefordeling!$C$11</f>
        <v>Øvrige</v>
      </c>
      <c r="C305">
        <v>2019</v>
      </c>
      <c r="D305" t="s">
        <v>8</v>
      </c>
      <c r="E305" s="173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3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3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25">
      <c r="A306" t="s">
        <v>25</v>
      </c>
      <c r="B306" s="1" t="str">
        <f>[1]Afgrødefordeling!$C$12</f>
        <v>Frø</v>
      </c>
      <c r="C306">
        <v>2019</v>
      </c>
      <c r="D306" t="s">
        <v>8</v>
      </c>
      <c r="E306" s="173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3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3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25">
      <c r="A307" t="s">
        <v>25</v>
      </c>
      <c r="B307" s="1" t="str">
        <f>[1]Afgrødefordeling!$C$13</f>
        <v>Juletræer</v>
      </c>
      <c r="C307">
        <v>2019</v>
      </c>
      <c r="D307" t="s">
        <v>8</v>
      </c>
      <c r="E307" s="173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3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3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25">
      <c r="A308" t="s">
        <v>25</v>
      </c>
      <c r="B308" s="1" t="str">
        <f>[1]Afgrødefordeling!$C$14</f>
        <v>Pil &amp; poppel</v>
      </c>
      <c r="C308">
        <v>2019</v>
      </c>
      <c r="D308" t="s">
        <v>8</v>
      </c>
      <c r="E308" s="173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3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3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25">
      <c r="A309" t="s">
        <v>25</v>
      </c>
      <c r="B309" s="1" t="str">
        <f>[1]Afgrødefordeling!$C$15</f>
        <v>Permanent græs</v>
      </c>
      <c r="C309">
        <v>2019</v>
      </c>
      <c r="D309" t="s">
        <v>8</v>
      </c>
      <c r="E309" s="173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3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3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25">
      <c r="A310" t="s">
        <v>25</v>
      </c>
      <c r="B310" s="1" t="str">
        <f>[1]Afgrødefordeling!$C$2</f>
        <v>Korn</v>
      </c>
      <c r="C310">
        <v>2030</v>
      </c>
      <c r="D310" t="s">
        <v>8</v>
      </c>
      <c r="E310" s="173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149841.88011277147</v>
      </c>
      <c r="H310" s="173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703762.35832565371</v>
      </c>
      <c r="I310" s="173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228370.88527667467</v>
      </c>
      <c r="J310" s="76">
        <f t="shared" si="55"/>
        <v>228370.88527667467</v>
      </c>
    </row>
    <row r="311" spans="1:10" x14ac:dyDescent="0.25">
      <c r="A311" t="s">
        <v>25</v>
      </c>
      <c r="B311" s="1" t="str">
        <f>[1]Afgrødefordeling!$C$3</f>
        <v>Bælgsæd</v>
      </c>
      <c r="C311">
        <v>2030</v>
      </c>
      <c r="D311" t="s">
        <v>8</v>
      </c>
      <c r="E311" s="173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3265.7793246486704</v>
      </c>
      <c r="H311" s="173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7185.3676700920041</v>
      </c>
      <c r="I311" s="173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2120.7817442640203</v>
      </c>
      <c r="J311" s="76">
        <f t="shared" si="55"/>
        <v>2120.7817442640203</v>
      </c>
    </row>
    <row r="312" spans="1:10" x14ac:dyDescent="0.25">
      <c r="A312" t="s">
        <v>25</v>
      </c>
      <c r="B312" s="1" t="str">
        <f>[1]Afgrødefordeling!$C$4</f>
        <v>Raps</v>
      </c>
      <c r="C312">
        <v>2030</v>
      </c>
      <c r="D312" t="s">
        <v>8</v>
      </c>
      <c r="E312" s="173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20716.164134757324</v>
      </c>
      <c r="H312" s="173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50133.117206112729</v>
      </c>
      <c r="I312" s="173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26620.685236445857</v>
      </c>
      <c r="J312" s="76">
        <f t="shared" si="55"/>
        <v>26620.685236445857</v>
      </c>
    </row>
    <row r="313" spans="1:10" x14ac:dyDescent="0.25">
      <c r="A313" t="s">
        <v>25</v>
      </c>
      <c r="B313" s="1" t="str">
        <f>[1]Afgrødefordeling!$C$5</f>
        <v>Græs</v>
      </c>
      <c r="C313">
        <v>2030</v>
      </c>
      <c r="D313" t="s">
        <v>8</v>
      </c>
      <c r="E313" s="173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12585.585572688986</v>
      </c>
      <c r="H313" s="173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487107.46977112547</v>
      </c>
      <c r="I313" s="173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487107.46977112547</v>
      </c>
    </row>
    <row r="314" spans="1:10" x14ac:dyDescent="0.25">
      <c r="A314" t="s">
        <v>25</v>
      </c>
      <c r="B314" s="1" t="str">
        <f>[1]Afgrødefordeling!$C$6</f>
        <v>Grøntsager</v>
      </c>
      <c r="C314">
        <v>2030</v>
      </c>
      <c r="D314" t="s">
        <v>8</v>
      </c>
      <c r="E314" s="173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1972.1645512572102</v>
      </c>
      <c r="H314" s="173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23325.776229994652</v>
      </c>
      <c r="I314" s="173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23325.776229994652</v>
      </c>
    </row>
    <row r="315" spans="1:10" x14ac:dyDescent="0.25">
      <c r="A315" t="s">
        <v>25</v>
      </c>
      <c r="B315" s="1" t="str">
        <f>[1]Afgrødefordeling!$C$7</f>
        <v>Kartofler</v>
      </c>
      <c r="C315">
        <v>2030</v>
      </c>
      <c r="D315" t="s">
        <v>8</v>
      </c>
      <c r="E315" s="173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1265.1484015207616</v>
      </c>
      <c r="H315" s="173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30627.234628751728</v>
      </c>
      <c r="I315" s="173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30627.234628751728</v>
      </c>
    </row>
    <row r="316" spans="1:10" x14ac:dyDescent="0.25">
      <c r="A316" t="s">
        <v>25</v>
      </c>
      <c r="B316" s="1" t="str">
        <f>[1]Afgrødefordeling!$C$8</f>
        <v>Roer</v>
      </c>
      <c r="C316">
        <v>2030</v>
      </c>
      <c r="D316" t="s">
        <v>8</v>
      </c>
      <c r="E316" s="173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3122.1791080683429</v>
      </c>
      <c r="H316" s="173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144602.56039798076</v>
      </c>
      <c r="I316" s="173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144602.56039798076</v>
      </c>
    </row>
    <row r="317" spans="1:10" x14ac:dyDescent="0.25">
      <c r="A317" t="s">
        <v>25</v>
      </c>
      <c r="B317" s="1" t="str">
        <f>[1]Afgrødefordeling!$C$9</f>
        <v>Majs</v>
      </c>
      <c r="C317">
        <v>2030</v>
      </c>
      <c r="D317" t="s">
        <v>8</v>
      </c>
      <c r="E317" s="173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3719.8713198652576</v>
      </c>
      <c r="H317" s="173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137424.3221311782</v>
      </c>
      <c r="I317" s="173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137424.3221311782</v>
      </c>
    </row>
    <row r="318" spans="1:10" x14ac:dyDescent="0.25">
      <c r="A318" t="s">
        <v>25</v>
      </c>
      <c r="B318" s="1" t="str">
        <f>[1]Afgrødefordeling!$C$10</f>
        <v>Frugt</v>
      </c>
      <c r="C318">
        <v>2030</v>
      </c>
      <c r="D318" t="s">
        <v>8</v>
      </c>
      <c r="E318" s="173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10895.352017639287</v>
      </c>
      <c r="H318" s="173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52725.877018961801</v>
      </c>
      <c r="I318" s="173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52725.877018961801</v>
      </c>
    </row>
    <row r="319" spans="1:10" x14ac:dyDescent="0.25">
      <c r="A319" t="s">
        <v>25</v>
      </c>
      <c r="B319" s="1" t="str">
        <f>[1]Afgrødefordeling!$C$11</f>
        <v>Øvrige</v>
      </c>
      <c r="C319">
        <v>2030</v>
      </c>
      <c r="D319" t="s">
        <v>8</v>
      </c>
      <c r="E319" s="173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6180.4056844499446</v>
      </c>
      <c r="H319" s="173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104966.0806199801</v>
      </c>
      <c r="I319" s="173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104966.0806199801</v>
      </c>
    </row>
    <row r="320" spans="1:10" x14ac:dyDescent="0.25">
      <c r="A320" t="s">
        <v>25</v>
      </c>
      <c r="B320" s="1" t="str">
        <f>[1]Afgrødefordeling!$C$12</f>
        <v>Frø</v>
      </c>
      <c r="C320">
        <v>2030</v>
      </c>
      <c r="D320" t="s">
        <v>8</v>
      </c>
      <c r="E320" s="173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19121.992898738237</v>
      </c>
      <c r="H320" s="173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155741.9515652355</v>
      </c>
      <c r="I320" s="173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25722.904847382677</v>
      </c>
      <c r="J320" s="76">
        <f t="shared" si="55"/>
        <v>25722.904847382677</v>
      </c>
    </row>
    <row r="321" spans="1:10" x14ac:dyDescent="0.25">
      <c r="A321" t="s">
        <v>25</v>
      </c>
      <c r="B321" s="1" t="str">
        <f>[1]Afgrødefordeling!$C$13</f>
        <v>Juletræer</v>
      </c>
      <c r="C321">
        <v>2030</v>
      </c>
      <c r="D321" t="s">
        <v>8</v>
      </c>
      <c r="E321" s="173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1356.3029011647714</v>
      </c>
      <c r="H321" s="173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38654.632683195981</v>
      </c>
      <c r="I321" s="173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38654.632683195981</v>
      </c>
    </row>
    <row r="322" spans="1:10" x14ac:dyDescent="0.25">
      <c r="A322" t="s">
        <v>25</v>
      </c>
      <c r="B322" s="1" t="str">
        <f>[1]Afgrødefordeling!$C$14</f>
        <v>Pil &amp; poppel</v>
      </c>
      <c r="C322">
        <v>2030</v>
      </c>
      <c r="D322" t="s">
        <v>8</v>
      </c>
      <c r="E322" s="173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644.6996597846429</v>
      </c>
      <c r="H322" s="173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8962.8977092011319</v>
      </c>
      <c r="I322" s="173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8962.8977092011319</v>
      </c>
    </row>
    <row r="323" spans="1:10" x14ac:dyDescent="0.25">
      <c r="A323" t="s">
        <v>25</v>
      </c>
      <c r="B323" s="1" t="str">
        <f>[1]Afgrødefordeling!$C$15</f>
        <v>Permanent græs</v>
      </c>
      <c r="C323">
        <v>2030</v>
      </c>
      <c r="D323" t="s">
        <v>8</v>
      </c>
      <c r="E323" s="173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16057.66871242961</v>
      </c>
      <c r="H323" s="173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221435.25154440431</v>
      </c>
      <c r="I323" s="173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221435.25154440431</v>
      </c>
    </row>
    <row r="324" spans="1:10" x14ac:dyDescent="0.25">
      <c r="A324" t="s">
        <v>25</v>
      </c>
      <c r="B324" s="1" t="str">
        <f>[1]Afgrødefordeling!$C$2</f>
        <v>Korn</v>
      </c>
      <c r="C324">
        <v>2050</v>
      </c>
      <c r="D324" t="s">
        <v>8</v>
      </c>
      <c r="E324" s="173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239333.33810745462</v>
      </c>
      <c r="H324" s="173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1124076.8890892821</v>
      </c>
      <c r="I324" s="173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364762.95050947211</v>
      </c>
      <c r="J324" s="76">
        <f t="shared" si="55"/>
        <v>364762.95050947211</v>
      </c>
    </row>
    <row r="325" spans="1:10" x14ac:dyDescent="0.25">
      <c r="A325" t="s">
        <v>25</v>
      </c>
      <c r="B325" s="1" t="str">
        <f>[1]Afgrødefordeling!$C$3</f>
        <v>Bælgsæd</v>
      </c>
      <c r="C325">
        <v>2050</v>
      </c>
      <c r="D325" t="s">
        <v>8</v>
      </c>
      <c r="E325" s="173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5216.2310477033061</v>
      </c>
      <c r="H325" s="173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11476.751551156813</v>
      </c>
      <c r="I325" s="173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3387.3959260926022</v>
      </c>
      <c r="J325" s="76">
        <f t="shared" si="55"/>
        <v>3387.3959260926022</v>
      </c>
    </row>
    <row r="326" spans="1:10" x14ac:dyDescent="0.25">
      <c r="A326" t="s">
        <v>25</v>
      </c>
      <c r="B326" s="1" t="str">
        <f>[1]Afgrødefordeling!$C$4</f>
        <v>Raps</v>
      </c>
      <c r="C326">
        <v>2050</v>
      </c>
      <c r="D326" t="s">
        <v>8</v>
      </c>
      <c r="E326" s="173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33088.671280832452</v>
      </c>
      <c r="H326" s="173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80074.584499614546</v>
      </c>
      <c r="I326" s="173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42519.604369295324</v>
      </c>
      <c r="J326" s="76">
        <f t="shared" si="55"/>
        <v>42519.604369295324</v>
      </c>
    </row>
    <row r="327" spans="1:10" x14ac:dyDescent="0.25">
      <c r="A327" t="s">
        <v>25</v>
      </c>
      <c r="B327" s="1" t="str">
        <f>[1]Afgrødefordeling!$C$5</f>
        <v>Græs</v>
      </c>
      <c r="C327">
        <v>2050</v>
      </c>
      <c r="D327" t="s">
        <v>8</v>
      </c>
      <c r="E327" s="173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20102.191756281507</v>
      </c>
      <c r="H327" s="173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778027.18885841698</v>
      </c>
      <c r="I327" s="173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778027.18885841698</v>
      </c>
    </row>
    <row r="328" spans="1:10" x14ac:dyDescent="0.25">
      <c r="A328" t="s">
        <v>25</v>
      </c>
      <c r="B328" s="1" t="str">
        <f>[1]Afgrødefordeling!$C$6</f>
        <v>Grøntsager</v>
      </c>
      <c r="C328">
        <v>2050</v>
      </c>
      <c r="D328" t="s">
        <v>8</v>
      </c>
      <c r="E328" s="173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3150.0187063479598</v>
      </c>
      <c r="H328" s="173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37256.846249330491</v>
      </c>
      <c r="I328" s="173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37256.846249330491</v>
      </c>
    </row>
    <row r="329" spans="1:10" x14ac:dyDescent="0.25">
      <c r="A329" t="s">
        <v>25</v>
      </c>
      <c r="B329" s="1" t="str">
        <f>[1]Afgrødefordeling!$C$7</f>
        <v>Kartofler</v>
      </c>
      <c r="C329">
        <v>2050</v>
      </c>
      <c r="D329" t="s">
        <v>8</v>
      </c>
      <c r="E329" s="173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2020.744733777979</v>
      </c>
      <c r="H329" s="173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48919.022473441408</v>
      </c>
      <c r="I329" s="173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48919.022473441408</v>
      </c>
    </row>
    <row r="330" spans="1:10" x14ac:dyDescent="0.25">
      <c r="A330" t="s">
        <v>25</v>
      </c>
      <c r="B330" s="1" t="str">
        <f>[1]Afgrødefordeling!$C$8</f>
        <v>Roer</v>
      </c>
      <c r="C330">
        <v>2050</v>
      </c>
      <c r="D330" t="s">
        <v>8</v>
      </c>
      <c r="E330" s="173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4986.8671398208262</v>
      </c>
      <c r="H330" s="173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230964.89080948071</v>
      </c>
      <c r="I330" s="173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230964.89080948071</v>
      </c>
    </row>
    <row r="331" spans="1:10" x14ac:dyDescent="0.25">
      <c r="A331" t="s">
        <v>25</v>
      </c>
      <c r="B331" s="1" t="str">
        <f>[1]Afgrødefordeling!$C$9</f>
        <v>Majs</v>
      </c>
      <c r="C331">
        <v>2050</v>
      </c>
      <c r="D331" t="s">
        <v>8</v>
      </c>
      <c r="E331" s="173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5941.5246234464012</v>
      </c>
      <c r="H331" s="173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219499.52662136746</v>
      </c>
      <c r="I331" s="173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219499.52662136746</v>
      </c>
    </row>
    <row r="332" spans="1:10" x14ac:dyDescent="0.25">
      <c r="A332" t="s">
        <v>25</v>
      </c>
      <c r="B332" s="1" t="str">
        <f>[1]Afgrødefordeling!$C$10</f>
        <v>Frugt</v>
      </c>
      <c r="C332">
        <v>2050</v>
      </c>
      <c r="D332" t="s">
        <v>8</v>
      </c>
      <c r="E332" s="173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17402.484313964145</v>
      </c>
      <c r="H332" s="173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84215.842340566698</v>
      </c>
      <c r="I332" s="173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84215.842340566698</v>
      </c>
    </row>
    <row r="333" spans="1:10" x14ac:dyDescent="0.25">
      <c r="A333" t="s">
        <v>25</v>
      </c>
      <c r="B333" s="1" t="str">
        <f>[1]Afgrødefordeling!$C$11</f>
        <v>Øvrige</v>
      </c>
      <c r="C333">
        <v>2050</v>
      </c>
      <c r="D333" t="s">
        <v>8</v>
      </c>
      <c r="E333" s="173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9871.5867833776501</v>
      </c>
      <c r="H333" s="173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167655.94801619704</v>
      </c>
      <c r="I333" s="173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167655.94801619704</v>
      </c>
    </row>
    <row r="334" spans="1:10" x14ac:dyDescent="0.25">
      <c r="A334" t="s">
        <v>25</v>
      </c>
      <c r="B334" s="1" t="str">
        <f>[1]Afgrødefordeling!$C$12</f>
        <v>Frø</v>
      </c>
      <c r="C334">
        <v>2050</v>
      </c>
      <c r="D334" t="s">
        <v>8</v>
      </c>
      <c r="E334" s="173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30542.398348697665</v>
      </c>
      <c r="H334" s="173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248757.16404135228</v>
      </c>
      <c r="I334" s="173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41085.634258668091</v>
      </c>
      <c r="J334" s="76">
        <f t="shared" si="55"/>
        <v>41085.634258668091</v>
      </c>
    </row>
    <row r="335" spans="1:10" x14ac:dyDescent="0.25">
      <c r="A335" t="s">
        <v>25</v>
      </c>
      <c r="B335" s="1" t="str">
        <f>[1]Afgrødefordeling!$C$13</f>
        <v>Juletræer</v>
      </c>
      <c r="C335">
        <v>2050</v>
      </c>
      <c r="D335" t="s">
        <v>8</v>
      </c>
      <c r="E335" s="173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2166.3402820112005</v>
      </c>
      <c r="H335" s="173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61740.698037319213</v>
      </c>
      <c r="I335" s="173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61740.698037319213</v>
      </c>
    </row>
    <row r="336" spans="1:10" x14ac:dyDescent="0.25">
      <c r="A336" t="s">
        <v>25</v>
      </c>
      <c r="B336" s="1" t="str">
        <f>[1]Afgrødefordeling!$C$14</f>
        <v>Pil &amp; poppel</v>
      </c>
      <c r="C336">
        <v>2050</v>
      </c>
      <c r="D336" t="s">
        <v>8</v>
      </c>
      <c r="E336" s="173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1029.7396264440467</v>
      </c>
      <c r="H336" s="173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14315.892367636749</v>
      </c>
      <c r="I336" s="173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14315.892367636749</v>
      </c>
    </row>
    <row r="337" spans="1:10" x14ac:dyDescent="0.25">
      <c r="A337" t="s">
        <v>25</v>
      </c>
      <c r="B337" s="1" t="str">
        <f>[1]Afgrødefordeling!$C$15</f>
        <v>Permanent græs</v>
      </c>
      <c r="C337">
        <v>2050</v>
      </c>
      <c r="D337" t="s">
        <v>8</v>
      </c>
      <c r="E337" s="173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25647.939362994217</v>
      </c>
      <c r="H337" s="173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353685.0838156903</v>
      </c>
      <c r="I337" s="173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353685.0838156903</v>
      </c>
    </row>
    <row r="338" spans="1:10" x14ac:dyDescent="0.25">
      <c r="A338" t="s">
        <v>25</v>
      </c>
      <c r="B338" s="1" t="str">
        <f>[1]Afgrødefordeling!$C$2</f>
        <v>Korn</v>
      </c>
      <c r="C338">
        <v>2019</v>
      </c>
      <c r="D338" t="s">
        <v>7</v>
      </c>
      <c r="E338" s="173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3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3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25">
      <c r="A339" t="s">
        <v>25</v>
      </c>
      <c r="B339" s="1" t="str">
        <f>[1]Afgrødefordeling!$C$3</f>
        <v>Bælgsæd</v>
      </c>
      <c r="C339">
        <v>2019</v>
      </c>
      <c r="D339" t="s">
        <v>7</v>
      </c>
      <c r="E339" s="173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3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3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25">
      <c r="A340" t="s">
        <v>25</v>
      </c>
      <c r="B340" s="1" t="str">
        <f>[1]Afgrødefordeling!$C$4</f>
        <v>Raps</v>
      </c>
      <c r="C340">
        <v>2019</v>
      </c>
      <c r="D340" t="s">
        <v>7</v>
      </c>
      <c r="E340" s="173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3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3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25">
      <c r="A341" t="s">
        <v>25</v>
      </c>
      <c r="B341" s="1" t="str">
        <f>[1]Afgrødefordeling!$C$5</f>
        <v>Græs</v>
      </c>
      <c r="C341">
        <v>2019</v>
      </c>
      <c r="D341" t="s">
        <v>7</v>
      </c>
      <c r="E341" s="173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3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3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25">
      <c r="A342" t="s">
        <v>25</v>
      </c>
      <c r="B342" s="1" t="str">
        <f>[1]Afgrødefordeling!$C$6</f>
        <v>Grøntsager</v>
      </c>
      <c r="C342">
        <v>2019</v>
      </c>
      <c r="D342" t="s">
        <v>7</v>
      </c>
      <c r="E342" s="173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3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3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25">
      <c r="A343" t="s">
        <v>25</v>
      </c>
      <c r="B343" s="1" t="str">
        <f>[1]Afgrødefordeling!$C$7</f>
        <v>Kartofler</v>
      </c>
      <c r="C343">
        <v>2019</v>
      </c>
      <c r="D343" t="s">
        <v>7</v>
      </c>
      <c r="E343" s="173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3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3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25">
      <c r="A344" t="s">
        <v>25</v>
      </c>
      <c r="B344" s="1" t="str">
        <f>[1]Afgrødefordeling!$C$8</f>
        <v>Roer</v>
      </c>
      <c r="C344">
        <v>2019</v>
      </c>
      <c r="D344" t="s">
        <v>7</v>
      </c>
      <c r="E344" s="173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3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3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25">
      <c r="A345" t="s">
        <v>25</v>
      </c>
      <c r="B345" s="1" t="str">
        <f>[1]Afgrødefordeling!$C$9</f>
        <v>Majs</v>
      </c>
      <c r="C345">
        <v>2019</v>
      </c>
      <c r="D345" t="s">
        <v>7</v>
      </c>
      <c r="E345" s="173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3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3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25">
      <c r="A346" t="s">
        <v>25</v>
      </c>
      <c r="B346" s="1" t="str">
        <f>[1]Afgrødefordeling!$C$10</f>
        <v>Frugt</v>
      </c>
      <c r="C346">
        <v>2019</v>
      </c>
      <c r="D346" t="s">
        <v>7</v>
      </c>
      <c r="E346" s="173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3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3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25">
      <c r="A347" t="s">
        <v>25</v>
      </c>
      <c r="B347" s="1" t="str">
        <f>[1]Afgrødefordeling!$C$11</f>
        <v>Øvrige</v>
      </c>
      <c r="C347">
        <v>2019</v>
      </c>
      <c r="D347" t="s">
        <v>7</v>
      </c>
      <c r="E347" s="173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3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3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25">
      <c r="A348" t="s">
        <v>25</v>
      </c>
      <c r="B348" s="1" t="str">
        <f>[1]Afgrødefordeling!$C$12</f>
        <v>Frø</v>
      </c>
      <c r="C348">
        <v>2019</v>
      </c>
      <c r="D348" t="s">
        <v>7</v>
      </c>
      <c r="E348" s="173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3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3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25">
      <c r="A349" t="s">
        <v>25</v>
      </c>
      <c r="B349" s="1" t="str">
        <f>[1]Afgrødefordeling!$C$13</f>
        <v>Juletræer</v>
      </c>
      <c r="C349">
        <v>2019</v>
      </c>
      <c r="D349" t="s">
        <v>7</v>
      </c>
      <c r="E349" s="173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3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3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25">
      <c r="A350" t="s">
        <v>25</v>
      </c>
      <c r="B350" s="1" t="str">
        <f>[1]Afgrødefordeling!$C$14</f>
        <v>Pil &amp; poppel</v>
      </c>
      <c r="C350">
        <v>2019</v>
      </c>
      <c r="D350" t="s">
        <v>7</v>
      </c>
      <c r="E350" s="173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3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3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25">
      <c r="A351" t="s">
        <v>25</v>
      </c>
      <c r="B351" s="1" t="str">
        <f>[1]Afgrødefordeling!$C$15</f>
        <v>Permanent græs</v>
      </c>
      <c r="C351">
        <v>2019</v>
      </c>
      <c r="D351" t="s">
        <v>7</v>
      </c>
      <c r="E351" s="173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3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3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25">
      <c r="A352" t="s">
        <v>25</v>
      </c>
      <c r="B352" s="1" t="str">
        <f>[1]Afgrødefordeling!$C$2</f>
        <v>Korn</v>
      </c>
      <c r="C352">
        <v>2030</v>
      </c>
      <c r="D352" t="s">
        <v>7</v>
      </c>
      <c r="E352" s="173" t="str">
        <f t="shared" si="59"/>
        <v>OC6</v>
      </c>
      <c r="F352" t="str">
        <f t="shared" si="58"/>
        <v>Korn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0</v>
      </c>
      <c r="H352" s="173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0</v>
      </c>
      <c r="I352" s="173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0</v>
      </c>
      <c r="J352" s="76">
        <f t="shared" si="60"/>
        <v>0</v>
      </c>
    </row>
    <row r="353" spans="1:10" x14ac:dyDescent="0.25">
      <c r="A353" t="s">
        <v>25</v>
      </c>
      <c r="B353" s="1" t="str">
        <f>[1]Afgrødefordeling!$C$3</f>
        <v>Bælgsæd</v>
      </c>
      <c r="C353">
        <v>2030</v>
      </c>
      <c r="D353" t="s">
        <v>7</v>
      </c>
      <c r="E353" s="173" t="str">
        <f t="shared" si="59"/>
        <v>OC6</v>
      </c>
      <c r="F353" t="str">
        <f t="shared" si="58"/>
        <v>Bælgsæd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0</v>
      </c>
      <c r="H353" s="173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0</v>
      </c>
      <c r="I353" s="173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0</v>
      </c>
      <c r="J353" s="76">
        <f t="shared" si="60"/>
        <v>0</v>
      </c>
    </row>
    <row r="354" spans="1:10" x14ac:dyDescent="0.25">
      <c r="A354" t="s">
        <v>25</v>
      </c>
      <c r="B354" s="1" t="str">
        <f>[1]Afgrødefordeling!$C$4</f>
        <v>Raps</v>
      </c>
      <c r="C354">
        <v>2030</v>
      </c>
      <c r="D354" t="s">
        <v>7</v>
      </c>
      <c r="E354" s="173" t="str">
        <f t="shared" si="59"/>
        <v>OC6</v>
      </c>
      <c r="F354" t="str">
        <f t="shared" si="58"/>
        <v>Raps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0</v>
      </c>
      <c r="H354" s="173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0</v>
      </c>
      <c r="I354" s="173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0</v>
      </c>
      <c r="J354" s="76">
        <f t="shared" si="60"/>
        <v>0</v>
      </c>
    </row>
    <row r="355" spans="1:10" x14ac:dyDescent="0.25">
      <c r="A355" t="s">
        <v>25</v>
      </c>
      <c r="B355" s="1" t="str">
        <f>[1]Afgrødefordeling!$C$5</f>
        <v>Græs</v>
      </c>
      <c r="C355">
        <v>2030</v>
      </c>
      <c r="D355" t="s">
        <v>7</v>
      </c>
      <c r="E355" s="173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0</v>
      </c>
      <c r="H355" s="173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0</v>
      </c>
      <c r="I355" s="173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0</v>
      </c>
    </row>
    <row r="356" spans="1:10" x14ac:dyDescent="0.25">
      <c r="A356" t="s">
        <v>25</v>
      </c>
      <c r="B356" s="1" t="str">
        <f>[1]Afgrødefordeling!$C$6</f>
        <v>Grøntsager</v>
      </c>
      <c r="C356">
        <v>2030</v>
      </c>
      <c r="D356" t="s">
        <v>7</v>
      </c>
      <c r="E356" s="173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0</v>
      </c>
      <c r="H356" s="173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0</v>
      </c>
      <c r="I356" s="173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0</v>
      </c>
    </row>
    <row r="357" spans="1:10" x14ac:dyDescent="0.25">
      <c r="A357" t="s">
        <v>25</v>
      </c>
      <c r="B357" s="1" t="str">
        <f>[1]Afgrødefordeling!$C$7</f>
        <v>Kartofler</v>
      </c>
      <c r="C357">
        <v>2030</v>
      </c>
      <c r="D357" t="s">
        <v>7</v>
      </c>
      <c r="E357" s="173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0</v>
      </c>
      <c r="H357" s="173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0</v>
      </c>
      <c r="I357" s="173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0</v>
      </c>
    </row>
    <row r="358" spans="1:10" x14ac:dyDescent="0.25">
      <c r="A358" t="s">
        <v>25</v>
      </c>
      <c r="B358" s="1" t="str">
        <f>[1]Afgrødefordeling!$C$8</f>
        <v>Roer</v>
      </c>
      <c r="C358">
        <v>2030</v>
      </c>
      <c r="D358" t="s">
        <v>7</v>
      </c>
      <c r="E358" s="173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0</v>
      </c>
      <c r="H358" s="173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0</v>
      </c>
      <c r="I358" s="173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0</v>
      </c>
    </row>
    <row r="359" spans="1:10" x14ac:dyDescent="0.25">
      <c r="A359" t="s">
        <v>25</v>
      </c>
      <c r="B359" s="1" t="str">
        <f>[1]Afgrødefordeling!$C$9</f>
        <v>Majs</v>
      </c>
      <c r="C359">
        <v>2030</v>
      </c>
      <c r="D359" t="s">
        <v>7</v>
      </c>
      <c r="E359" s="173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0</v>
      </c>
      <c r="H359" s="173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0</v>
      </c>
      <c r="I359" s="173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0</v>
      </c>
    </row>
    <row r="360" spans="1:10" x14ac:dyDescent="0.25">
      <c r="A360" t="s">
        <v>25</v>
      </c>
      <c r="B360" s="1" t="str">
        <f>[1]Afgrødefordeling!$C$10</f>
        <v>Frugt</v>
      </c>
      <c r="C360">
        <v>2030</v>
      </c>
      <c r="D360" t="s">
        <v>7</v>
      </c>
      <c r="E360" s="173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0</v>
      </c>
      <c r="H360" s="173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0</v>
      </c>
      <c r="I360" s="173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0</v>
      </c>
    </row>
    <row r="361" spans="1:10" x14ac:dyDescent="0.25">
      <c r="A361" t="s">
        <v>25</v>
      </c>
      <c r="B361" s="1" t="str">
        <f>[1]Afgrødefordeling!$C$11</f>
        <v>Øvrige</v>
      </c>
      <c r="C361">
        <v>2030</v>
      </c>
      <c r="D361" t="s">
        <v>7</v>
      </c>
      <c r="E361" s="173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0</v>
      </c>
      <c r="H361" s="173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0</v>
      </c>
      <c r="I361" s="173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0</v>
      </c>
    </row>
    <row r="362" spans="1:10" x14ac:dyDescent="0.25">
      <c r="A362" t="s">
        <v>25</v>
      </c>
      <c r="B362" s="1" t="str">
        <f>[1]Afgrødefordeling!$C$12</f>
        <v>Frø</v>
      </c>
      <c r="C362">
        <v>2030</v>
      </c>
      <c r="D362" t="s">
        <v>7</v>
      </c>
      <c r="E362" s="173" t="str">
        <f t="shared" si="59"/>
        <v>OC6</v>
      </c>
      <c r="F362" t="str">
        <f t="shared" si="58"/>
        <v>Frø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0</v>
      </c>
      <c r="H362" s="173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0</v>
      </c>
      <c r="I362" s="173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0</v>
      </c>
      <c r="J362" s="76">
        <f t="shared" si="60"/>
        <v>0</v>
      </c>
    </row>
    <row r="363" spans="1:10" x14ac:dyDescent="0.25">
      <c r="A363" t="s">
        <v>25</v>
      </c>
      <c r="B363" s="1" t="str">
        <f>[1]Afgrødefordeling!$C$13</f>
        <v>Juletræer</v>
      </c>
      <c r="C363">
        <v>2030</v>
      </c>
      <c r="D363" t="s">
        <v>7</v>
      </c>
      <c r="E363" s="173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0</v>
      </c>
      <c r="H363" s="173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0</v>
      </c>
      <c r="I363" s="173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0</v>
      </c>
    </row>
    <row r="364" spans="1:10" x14ac:dyDescent="0.25">
      <c r="A364" t="s">
        <v>25</v>
      </c>
      <c r="B364" s="1" t="str">
        <f>[1]Afgrødefordeling!$C$14</f>
        <v>Pil &amp; poppel</v>
      </c>
      <c r="C364">
        <v>2030</v>
      </c>
      <c r="D364" t="s">
        <v>7</v>
      </c>
      <c r="E364" s="173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0</v>
      </c>
      <c r="H364" s="173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0</v>
      </c>
      <c r="I364" s="173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0</v>
      </c>
    </row>
    <row r="365" spans="1:10" x14ac:dyDescent="0.25">
      <c r="A365" t="s">
        <v>25</v>
      </c>
      <c r="B365" s="1" t="str">
        <f>[1]Afgrødefordeling!$C$15</f>
        <v>Permanent græs</v>
      </c>
      <c r="C365">
        <v>2030</v>
      </c>
      <c r="D365" t="s">
        <v>7</v>
      </c>
      <c r="E365" s="173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0</v>
      </c>
      <c r="H365" s="173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0</v>
      </c>
      <c r="I365" s="173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0</v>
      </c>
    </row>
    <row r="366" spans="1:10" x14ac:dyDescent="0.25">
      <c r="A366" t="s">
        <v>25</v>
      </c>
      <c r="B366" s="1" t="str">
        <f>[1]Afgrødefordeling!$C$2</f>
        <v>Korn</v>
      </c>
      <c r="C366">
        <v>2050</v>
      </c>
      <c r="D366" t="s">
        <v>7</v>
      </c>
      <c r="E366" s="173" t="str">
        <f t="shared" si="59"/>
        <v>OC6</v>
      </c>
      <c r="F366" t="str">
        <f t="shared" si="58"/>
        <v>Korn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0</v>
      </c>
      <c r="H366" s="173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0</v>
      </c>
      <c r="I366" s="173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0</v>
      </c>
      <c r="J366" s="76">
        <f t="shared" si="60"/>
        <v>0</v>
      </c>
    </row>
    <row r="367" spans="1:10" x14ac:dyDescent="0.25">
      <c r="A367" t="s">
        <v>25</v>
      </c>
      <c r="B367" s="1" t="str">
        <f>[1]Afgrødefordeling!$C$3</f>
        <v>Bælgsæd</v>
      </c>
      <c r="C367">
        <v>2050</v>
      </c>
      <c r="D367" t="s">
        <v>7</v>
      </c>
      <c r="E367" s="173" t="str">
        <f t="shared" si="59"/>
        <v>OC6</v>
      </c>
      <c r="F367" t="str">
        <f t="shared" si="58"/>
        <v>Bælgsæd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0</v>
      </c>
      <c r="H367" s="173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0</v>
      </c>
      <c r="I367" s="173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0</v>
      </c>
      <c r="J367" s="76">
        <f t="shared" si="60"/>
        <v>0</v>
      </c>
    </row>
    <row r="368" spans="1:10" x14ac:dyDescent="0.25">
      <c r="A368" t="s">
        <v>25</v>
      </c>
      <c r="B368" s="1" t="str">
        <f>[1]Afgrødefordeling!$C$4</f>
        <v>Raps</v>
      </c>
      <c r="C368">
        <v>2050</v>
      </c>
      <c r="D368" t="s">
        <v>7</v>
      </c>
      <c r="E368" s="173" t="str">
        <f t="shared" si="59"/>
        <v>OC6</v>
      </c>
      <c r="F368" t="str">
        <f t="shared" si="58"/>
        <v>Raps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0</v>
      </c>
      <c r="H368" s="173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0</v>
      </c>
      <c r="I368" s="173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0</v>
      </c>
      <c r="J368" s="76">
        <f t="shared" si="60"/>
        <v>0</v>
      </c>
    </row>
    <row r="369" spans="1:10" x14ac:dyDescent="0.25">
      <c r="A369" t="s">
        <v>25</v>
      </c>
      <c r="B369" s="1" t="str">
        <f>[1]Afgrødefordeling!$C$5</f>
        <v>Græs</v>
      </c>
      <c r="C369">
        <v>2050</v>
      </c>
      <c r="D369" t="s">
        <v>7</v>
      </c>
      <c r="E369" s="173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0</v>
      </c>
      <c r="H369" s="173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0</v>
      </c>
      <c r="I369" s="173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0</v>
      </c>
    </row>
    <row r="370" spans="1:10" x14ac:dyDescent="0.25">
      <c r="A370" t="s">
        <v>25</v>
      </c>
      <c r="B370" s="1" t="str">
        <f>[1]Afgrødefordeling!$C$6</f>
        <v>Grøntsager</v>
      </c>
      <c r="C370">
        <v>2050</v>
      </c>
      <c r="D370" t="s">
        <v>7</v>
      </c>
      <c r="E370" s="173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0</v>
      </c>
      <c r="H370" s="173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0</v>
      </c>
      <c r="I370" s="173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0</v>
      </c>
    </row>
    <row r="371" spans="1:10" x14ac:dyDescent="0.25">
      <c r="A371" t="s">
        <v>25</v>
      </c>
      <c r="B371" s="1" t="str">
        <f>[1]Afgrødefordeling!$C$7</f>
        <v>Kartofler</v>
      </c>
      <c r="C371">
        <v>2050</v>
      </c>
      <c r="D371" t="s">
        <v>7</v>
      </c>
      <c r="E371" s="173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0</v>
      </c>
      <c r="H371" s="173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0</v>
      </c>
      <c r="I371" s="173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0</v>
      </c>
    </row>
    <row r="372" spans="1:10" x14ac:dyDescent="0.25">
      <c r="A372" t="s">
        <v>25</v>
      </c>
      <c r="B372" s="1" t="str">
        <f>[1]Afgrødefordeling!$C$8</f>
        <v>Roer</v>
      </c>
      <c r="C372">
        <v>2050</v>
      </c>
      <c r="D372" t="s">
        <v>7</v>
      </c>
      <c r="E372" s="173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0</v>
      </c>
      <c r="H372" s="173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0</v>
      </c>
      <c r="I372" s="173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0</v>
      </c>
    </row>
    <row r="373" spans="1:10" x14ac:dyDescent="0.25">
      <c r="A373" t="s">
        <v>25</v>
      </c>
      <c r="B373" s="1" t="str">
        <f>[1]Afgrødefordeling!$C$9</f>
        <v>Majs</v>
      </c>
      <c r="C373">
        <v>2050</v>
      </c>
      <c r="D373" t="s">
        <v>7</v>
      </c>
      <c r="E373" s="173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0</v>
      </c>
      <c r="H373" s="173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0</v>
      </c>
      <c r="I373" s="173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0</v>
      </c>
    </row>
    <row r="374" spans="1:10" x14ac:dyDescent="0.25">
      <c r="A374" t="s">
        <v>25</v>
      </c>
      <c r="B374" s="1" t="str">
        <f>[1]Afgrødefordeling!$C$10</f>
        <v>Frugt</v>
      </c>
      <c r="C374">
        <v>2050</v>
      </c>
      <c r="D374" t="s">
        <v>7</v>
      </c>
      <c r="E374" s="173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0</v>
      </c>
      <c r="H374" s="173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0</v>
      </c>
      <c r="I374" s="173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0</v>
      </c>
    </row>
    <row r="375" spans="1:10" x14ac:dyDescent="0.25">
      <c r="A375" t="s">
        <v>25</v>
      </c>
      <c r="B375" s="1" t="str">
        <f>[1]Afgrødefordeling!$C$11</f>
        <v>Øvrige</v>
      </c>
      <c r="C375">
        <v>2050</v>
      </c>
      <c r="D375" t="s">
        <v>7</v>
      </c>
      <c r="E375" s="173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0</v>
      </c>
      <c r="H375" s="173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0</v>
      </c>
      <c r="I375" s="173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0</v>
      </c>
    </row>
    <row r="376" spans="1:10" x14ac:dyDescent="0.25">
      <c r="A376" t="s">
        <v>25</v>
      </c>
      <c r="B376" s="1" t="str">
        <f>[1]Afgrødefordeling!$C$12</f>
        <v>Frø</v>
      </c>
      <c r="C376">
        <v>2050</v>
      </c>
      <c r="D376" t="s">
        <v>7</v>
      </c>
      <c r="E376" s="173" t="str">
        <f t="shared" si="61"/>
        <v>OC6</v>
      </c>
      <c r="F376" t="str">
        <f t="shared" si="58"/>
        <v>Frø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0</v>
      </c>
      <c r="H376" s="173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0</v>
      </c>
      <c r="I376" s="173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0</v>
      </c>
      <c r="J376" s="76">
        <f t="shared" si="60"/>
        <v>0</v>
      </c>
    </row>
    <row r="377" spans="1:10" x14ac:dyDescent="0.25">
      <c r="A377" t="s">
        <v>25</v>
      </c>
      <c r="B377" s="1" t="str">
        <f>[1]Afgrødefordeling!$C$13</f>
        <v>Juletræer</v>
      </c>
      <c r="C377">
        <v>2050</v>
      </c>
      <c r="D377" t="s">
        <v>7</v>
      </c>
      <c r="E377" s="173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0</v>
      </c>
      <c r="H377" s="173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0</v>
      </c>
      <c r="I377" s="173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0</v>
      </c>
    </row>
    <row r="378" spans="1:10" x14ac:dyDescent="0.25">
      <c r="A378" t="s">
        <v>25</v>
      </c>
      <c r="B378" s="1" t="str">
        <f>[1]Afgrødefordeling!$C$14</f>
        <v>Pil &amp; poppel</v>
      </c>
      <c r="C378">
        <v>2050</v>
      </c>
      <c r="D378" t="s">
        <v>7</v>
      </c>
      <c r="E378" s="173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0</v>
      </c>
      <c r="H378" s="173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0</v>
      </c>
      <c r="I378" s="173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0</v>
      </c>
    </row>
    <row r="379" spans="1:10" x14ac:dyDescent="0.25">
      <c r="A379" t="s">
        <v>25</v>
      </c>
      <c r="B379" s="1" t="str">
        <f>[1]Afgrødefordeling!$C$15</f>
        <v>Permanent græs</v>
      </c>
      <c r="C379">
        <v>2050</v>
      </c>
      <c r="D379" t="s">
        <v>7</v>
      </c>
      <c r="E379" s="173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0</v>
      </c>
      <c r="H379" s="173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0</v>
      </c>
      <c r="I379" s="173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0</v>
      </c>
    </row>
    <row r="380" spans="1:10" x14ac:dyDescent="0.25">
      <c r="A380" t="s">
        <v>25</v>
      </c>
      <c r="B380" s="1" t="str">
        <f>[1]Afgrødefordeling!$C$2</f>
        <v>Korn</v>
      </c>
      <c r="C380">
        <v>2019</v>
      </c>
      <c r="D380" t="s">
        <v>8</v>
      </c>
      <c r="E380" s="173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3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3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25">
      <c r="A381" t="s">
        <v>25</v>
      </c>
      <c r="B381" s="1" t="str">
        <f>[1]Afgrødefordeling!$C$3</f>
        <v>Bælgsæd</v>
      </c>
      <c r="C381">
        <v>2019</v>
      </c>
      <c r="D381" t="s">
        <v>8</v>
      </c>
      <c r="E381" s="173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3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3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25">
      <c r="A382" t="s">
        <v>25</v>
      </c>
      <c r="B382" s="1" t="str">
        <f>[1]Afgrødefordeling!$C$4</f>
        <v>Raps</v>
      </c>
      <c r="C382">
        <v>2019</v>
      </c>
      <c r="D382" t="s">
        <v>8</v>
      </c>
      <c r="E382" s="173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3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3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25">
      <c r="A383" t="s">
        <v>25</v>
      </c>
      <c r="B383" s="1" t="str">
        <f>[1]Afgrødefordeling!$C$5</f>
        <v>Græs</v>
      </c>
      <c r="C383">
        <v>2019</v>
      </c>
      <c r="D383" t="s">
        <v>8</v>
      </c>
      <c r="E383" s="173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3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3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25">
      <c r="A384" t="s">
        <v>25</v>
      </c>
      <c r="B384" s="1" t="str">
        <f>[1]Afgrødefordeling!$C$6</f>
        <v>Grøntsager</v>
      </c>
      <c r="C384">
        <v>2019</v>
      </c>
      <c r="D384" t="s">
        <v>8</v>
      </c>
      <c r="E384" s="173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3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3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25">
      <c r="A385" t="s">
        <v>25</v>
      </c>
      <c r="B385" s="1" t="str">
        <f>[1]Afgrødefordeling!$C$7</f>
        <v>Kartofler</v>
      </c>
      <c r="C385">
        <v>2019</v>
      </c>
      <c r="D385" t="s">
        <v>8</v>
      </c>
      <c r="E385" s="173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3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3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25">
      <c r="A386" t="s">
        <v>25</v>
      </c>
      <c r="B386" s="1" t="str">
        <f>[1]Afgrødefordeling!$C$8</f>
        <v>Roer</v>
      </c>
      <c r="C386">
        <v>2019</v>
      </c>
      <c r="D386" t="s">
        <v>8</v>
      </c>
      <c r="E386" s="173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3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3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25">
      <c r="A387" t="s">
        <v>25</v>
      </c>
      <c r="B387" s="1" t="str">
        <f>[1]Afgrødefordeling!$C$9</f>
        <v>Majs</v>
      </c>
      <c r="C387">
        <v>2019</v>
      </c>
      <c r="D387" t="s">
        <v>8</v>
      </c>
      <c r="E387" s="173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3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3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25">
      <c r="A388" t="s">
        <v>25</v>
      </c>
      <c r="B388" s="1" t="str">
        <f>[1]Afgrødefordeling!$C$10</f>
        <v>Frugt</v>
      </c>
      <c r="C388">
        <v>2019</v>
      </c>
      <c r="D388" t="s">
        <v>8</v>
      </c>
      <c r="E388" s="173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3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3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25">
      <c r="A389" t="s">
        <v>25</v>
      </c>
      <c r="B389" s="1" t="str">
        <f>[1]Afgrødefordeling!$C$11</f>
        <v>Øvrige</v>
      </c>
      <c r="C389">
        <v>2019</v>
      </c>
      <c r="D389" t="s">
        <v>8</v>
      </c>
      <c r="E389" s="173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3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3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25">
      <c r="A390" t="s">
        <v>25</v>
      </c>
      <c r="B390" s="1" t="str">
        <f>[1]Afgrødefordeling!$C$12</f>
        <v>Frø</v>
      </c>
      <c r="C390">
        <v>2019</v>
      </c>
      <c r="D390" t="s">
        <v>8</v>
      </c>
      <c r="E390" s="173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3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3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25">
      <c r="A391" t="s">
        <v>25</v>
      </c>
      <c r="B391" s="1" t="str">
        <f>[1]Afgrødefordeling!$C$13</f>
        <v>Juletræer</v>
      </c>
      <c r="C391">
        <v>2019</v>
      </c>
      <c r="D391" t="s">
        <v>8</v>
      </c>
      <c r="E391" s="173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3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3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25">
      <c r="A392" t="s">
        <v>25</v>
      </c>
      <c r="B392" s="1" t="str">
        <f>[1]Afgrødefordeling!$C$14</f>
        <v>Pil &amp; poppel</v>
      </c>
      <c r="C392">
        <v>2019</v>
      </c>
      <c r="D392" t="s">
        <v>8</v>
      </c>
      <c r="E392" s="173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3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3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25">
      <c r="A393" t="s">
        <v>25</v>
      </c>
      <c r="B393" s="1" t="str">
        <f>[1]Afgrødefordeling!$C$15</f>
        <v>Permanent græs</v>
      </c>
      <c r="C393">
        <v>2019</v>
      </c>
      <c r="D393" t="s">
        <v>8</v>
      </c>
      <c r="E393" s="173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3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3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25">
      <c r="A394" t="s">
        <v>25</v>
      </c>
      <c r="B394" s="1" t="str">
        <f>[1]Afgrødefordeling!$C$2</f>
        <v>Korn</v>
      </c>
      <c r="C394">
        <v>2030</v>
      </c>
      <c r="D394" t="s">
        <v>8</v>
      </c>
      <c r="E394" s="173" t="str">
        <f t="shared" si="61"/>
        <v>OC6</v>
      </c>
      <c r="F394" t="str">
        <f t="shared" si="58"/>
        <v>Korn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0</v>
      </c>
      <c r="H394" s="173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0</v>
      </c>
      <c r="I394" s="173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0</v>
      </c>
      <c r="J394" s="76">
        <f t="shared" si="60"/>
        <v>0</v>
      </c>
    </row>
    <row r="395" spans="1:10" x14ac:dyDescent="0.25">
      <c r="A395" t="s">
        <v>25</v>
      </c>
      <c r="B395" s="1" t="str">
        <f>[1]Afgrødefordeling!$C$3</f>
        <v>Bælgsæd</v>
      </c>
      <c r="C395">
        <v>2030</v>
      </c>
      <c r="D395" t="s">
        <v>8</v>
      </c>
      <c r="E395" s="173" t="str">
        <f t="shared" si="61"/>
        <v>OC6</v>
      </c>
      <c r="F395" t="str">
        <f t="shared" si="58"/>
        <v>Bælgsæd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0</v>
      </c>
      <c r="H395" s="173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0</v>
      </c>
      <c r="I395" s="173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0</v>
      </c>
      <c r="J395" s="76">
        <f t="shared" si="60"/>
        <v>0</v>
      </c>
    </row>
    <row r="396" spans="1:10" x14ac:dyDescent="0.25">
      <c r="A396" t="s">
        <v>25</v>
      </c>
      <c r="B396" s="1" t="str">
        <f>[1]Afgrødefordeling!$C$4</f>
        <v>Raps</v>
      </c>
      <c r="C396">
        <v>2030</v>
      </c>
      <c r="D396" t="s">
        <v>8</v>
      </c>
      <c r="E396" s="173" t="str">
        <f t="shared" si="61"/>
        <v>OC6</v>
      </c>
      <c r="F396" t="str">
        <f t="shared" si="58"/>
        <v>Raps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0</v>
      </c>
      <c r="H396" s="173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0</v>
      </c>
      <c r="I396" s="173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0</v>
      </c>
      <c r="J396" s="76">
        <f t="shared" si="60"/>
        <v>0</v>
      </c>
    </row>
    <row r="397" spans="1:10" x14ac:dyDescent="0.25">
      <c r="A397" t="s">
        <v>25</v>
      </c>
      <c r="B397" s="1" t="str">
        <f>[1]Afgrødefordeling!$C$5</f>
        <v>Græs</v>
      </c>
      <c r="C397">
        <v>2030</v>
      </c>
      <c r="D397" t="s">
        <v>8</v>
      </c>
      <c r="E397" s="173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0</v>
      </c>
      <c r="H397" s="173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0</v>
      </c>
      <c r="I397" s="173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0</v>
      </c>
    </row>
    <row r="398" spans="1:10" x14ac:dyDescent="0.25">
      <c r="A398" t="s">
        <v>25</v>
      </c>
      <c r="B398" s="1" t="str">
        <f>[1]Afgrødefordeling!$C$6</f>
        <v>Grøntsager</v>
      </c>
      <c r="C398">
        <v>2030</v>
      </c>
      <c r="D398" t="s">
        <v>8</v>
      </c>
      <c r="E398" s="173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0</v>
      </c>
      <c r="H398" s="173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0</v>
      </c>
      <c r="I398" s="173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0</v>
      </c>
    </row>
    <row r="399" spans="1:10" x14ac:dyDescent="0.25">
      <c r="A399" t="s">
        <v>25</v>
      </c>
      <c r="B399" s="1" t="str">
        <f>[1]Afgrødefordeling!$C$7</f>
        <v>Kartofler</v>
      </c>
      <c r="C399">
        <v>2030</v>
      </c>
      <c r="D399" t="s">
        <v>8</v>
      </c>
      <c r="E399" s="173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0</v>
      </c>
      <c r="H399" s="173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0</v>
      </c>
      <c r="I399" s="173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0</v>
      </c>
    </row>
    <row r="400" spans="1:10" x14ac:dyDescent="0.25">
      <c r="A400" t="s">
        <v>25</v>
      </c>
      <c r="B400" s="1" t="str">
        <f>[1]Afgrødefordeling!$C$8</f>
        <v>Roer</v>
      </c>
      <c r="C400">
        <v>2030</v>
      </c>
      <c r="D400" t="s">
        <v>8</v>
      </c>
      <c r="E400" s="173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0</v>
      </c>
      <c r="H400" s="173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0</v>
      </c>
      <c r="I400" s="173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0</v>
      </c>
    </row>
    <row r="401" spans="1:10" x14ac:dyDescent="0.25">
      <c r="A401" t="s">
        <v>25</v>
      </c>
      <c r="B401" s="1" t="str">
        <f>[1]Afgrødefordeling!$C$9</f>
        <v>Majs</v>
      </c>
      <c r="C401">
        <v>2030</v>
      </c>
      <c r="D401" t="s">
        <v>8</v>
      </c>
      <c r="E401" s="173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0</v>
      </c>
      <c r="H401" s="173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0</v>
      </c>
      <c r="I401" s="173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0</v>
      </c>
    </row>
    <row r="402" spans="1:10" x14ac:dyDescent="0.25">
      <c r="A402" t="s">
        <v>25</v>
      </c>
      <c r="B402" s="1" t="str">
        <f>[1]Afgrødefordeling!$C$10</f>
        <v>Frugt</v>
      </c>
      <c r="C402">
        <v>2030</v>
      </c>
      <c r="D402" t="s">
        <v>8</v>
      </c>
      <c r="E402" s="173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0</v>
      </c>
      <c r="H402" s="173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0</v>
      </c>
      <c r="I402" s="173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0</v>
      </c>
    </row>
    <row r="403" spans="1:10" x14ac:dyDescent="0.25">
      <c r="A403" t="s">
        <v>25</v>
      </c>
      <c r="B403" s="1" t="str">
        <f>[1]Afgrødefordeling!$C$11</f>
        <v>Øvrige</v>
      </c>
      <c r="C403">
        <v>2030</v>
      </c>
      <c r="D403" t="s">
        <v>8</v>
      </c>
      <c r="E403" s="173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0</v>
      </c>
      <c r="H403" s="173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0</v>
      </c>
      <c r="I403" s="173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0</v>
      </c>
    </row>
    <row r="404" spans="1:10" x14ac:dyDescent="0.25">
      <c r="A404" t="s">
        <v>25</v>
      </c>
      <c r="B404" s="1" t="str">
        <f>[1]Afgrødefordeling!$C$12</f>
        <v>Frø</v>
      </c>
      <c r="C404">
        <v>2030</v>
      </c>
      <c r="D404" t="s">
        <v>8</v>
      </c>
      <c r="E404" s="173" t="str">
        <f t="shared" si="63"/>
        <v>OC6</v>
      </c>
      <c r="F404" t="str">
        <f t="shared" si="62"/>
        <v>Frø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0</v>
      </c>
      <c r="H404" s="173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0</v>
      </c>
      <c r="I404" s="173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0</v>
      </c>
      <c r="J404" s="76">
        <f t="shared" si="60"/>
        <v>0</v>
      </c>
    </row>
    <row r="405" spans="1:10" x14ac:dyDescent="0.25">
      <c r="A405" t="s">
        <v>25</v>
      </c>
      <c r="B405" s="1" t="str">
        <f>[1]Afgrødefordeling!$C$13</f>
        <v>Juletræer</v>
      </c>
      <c r="C405">
        <v>2030</v>
      </c>
      <c r="D405" t="s">
        <v>8</v>
      </c>
      <c r="E405" s="173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0</v>
      </c>
      <c r="H405" s="173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0</v>
      </c>
      <c r="I405" s="173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0</v>
      </c>
    </row>
    <row r="406" spans="1:10" x14ac:dyDescent="0.25">
      <c r="A406" t="s">
        <v>25</v>
      </c>
      <c r="B406" s="1" t="str">
        <f>[1]Afgrødefordeling!$C$14</f>
        <v>Pil &amp; poppel</v>
      </c>
      <c r="C406">
        <v>2030</v>
      </c>
      <c r="D406" t="s">
        <v>8</v>
      </c>
      <c r="E406" s="173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0</v>
      </c>
      <c r="H406" s="173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0</v>
      </c>
      <c r="I406" s="173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0</v>
      </c>
    </row>
    <row r="407" spans="1:10" x14ac:dyDescent="0.25">
      <c r="A407" t="s">
        <v>25</v>
      </c>
      <c r="B407" s="1" t="str">
        <f>[1]Afgrødefordeling!$C$15</f>
        <v>Permanent græs</v>
      </c>
      <c r="C407">
        <v>2030</v>
      </c>
      <c r="D407" t="s">
        <v>8</v>
      </c>
      <c r="E407" s="173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0</v>
      </c>
      <c r="H407" s="173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0</v>
      </c>
      <c r="I407" s="173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0</v>
      </c>
    </row>
    <row r="408" spans="1:10" x14ac:dyDescent="0.25">
      <c r="A408" t="s">
        <v>25</v>
      </c>
      <c r="B408" s="1" t="str">
        <f>[1]Afgrødefordeling!$C$2</f>
        <v>Korn</v>
      </c>
      <c r="C408">
        <v>2050</v>
      </c>
      <c r="D408" t="s">
        <v>8</v>
      </c>
      <c r="E408" s="173" t="str">
        <f t="shared" si="63"/>
        <v>OC6</v>
      </c>
      <c r="F408" t="str">
        <f t="shared" si="62"/>
        <v>Korn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0</v>
      </c>
      <c r="H408" s="173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0</v>
      </c>
      <c r="I408" s="173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0</v>
      </c>
      <c r="J408" s="76">
        <f t="shared" si="64"/>
        <v>0</v>
      </c>
    </row>
    <row r="409" spans="1:10" x14ac:dyDescent="0.25">
      <c r="A409" t="s">
        <v>25</v>
      </c>
      <c r="B409" s="1" t="str">
        <f>[1]Afgrødefordeling!$C$3</f>
        <v>Bælgsæd</v>
      </c>
      <c r="C409">
        <v>2050</v>
      </c>
      <c r="D409" t="s">
        <v>8</v>
      </c>
      <c r="E409" s="173" t="str">
        <f t="shared" si="63"/>
        <v>OC6</v>
      </c>
      <c r="F409" t="str">
        <f t="shared" si="62"/>
        <v>Bælgsæd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0</v>
      </c>
      <c r="H409" s="173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0</v>
      </c>
      <c r="I409" s="173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0</v>
      </c>
      <c r="J409" s="76">
        <f t="shared" si="64"/>
        <v>0</v>
      </c>
    </row>
    <row r="410" spans="1:10" x14ac:dyDescent="0.25">
      <c r="A410" t="s">
        <v>25</v>
      </c>
      <c r="B410" s="1" t="str">
        <f>[1]Afgrødefordeling!$C$4</f>
        <v>Raps</v>
      </c>
      <c r="C410">
        <v>2050</v>
      </c>
      <c r="D410" t="s">
        <v>8</v>
      </c>
      <c r="E410" s="173" t="str">
        <f t="shared" si="63"/>
        <v>OC6</v>
      </c>
      <c r="F410" t="str">
        <f t="shared" si="62"/>
        <v>Raps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0</v>
      </c>
      <c r="H410" s="173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0</v>
      </c>
      <c r="I410" s="173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0</v>
      </c>
      <c r="J410" s="76">
        <f t="shared" si="64"/>
        <v>0</v>
      </c>
    </row>
    <row r="411" spans="1:10" x14ac:dyDescent="0.25">
      <c r="A411" t="s">
        <v>25</v>
      </c>
      <c r="B411" s="1" t="str">
        <f>[1]Afgrødefordeling!$C$5</f>
        <v>Græs</v>
      </c>
      <c r="C411">
        <v>2050</v>
      </c>
      <c r="D411" t="s">
        <v>8</v>
      </c>
      <c r="E411" s="173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0</v>
      </c>
      <c r="H411" s="173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0</v>
      </c>
      <c r="I411" s="173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0</v>
      </c>
    </row>
    <row r="412" spans="1:10" x14ac:dyDescent="0.25">
      <c r="A412" t="s">
        <v>25</v>
      </c>
      <c r="B412" s="1" t="str">
        <f>[1]Afgrødefordeling!$C$6</f>
        <v>Grøntsager</v>
      </c>
      <c r="C412">
        <v>2050</v>
      </c>
      <c r="D412" t="s">
        <v>8</v>
      </c>
      <c r="E412" s="173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0</v>
      </c>
      <c r="H412" s="173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0</v>
      </c>
      <c r="I412" s="173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0</v>
      </c>
    </row>
    <row r="413" spans="1:10" x14ac:dyDescent="0.25">
      <c r="A413" t="s">
        <v>25</v>
      </c>
      <c r="B413" s="1" t="str">
        <f>[1]Afgrødefordeling!$C$7</f>
        <v>Kartofler</v>
      </c>
      <c r="C413">
        <v>2050</v>
      </c>
      <c r="D413" t="s">
        <v>8</v>
      </c>
      <c r="E413" s="173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0</v>
      </c>
      <c r="H413" s="173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0</v>
      </c>
      <c r="I413" s="173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0</v>
      </c>
    </row>
    <row r="414" spans="1:10" x14ac:dyDescent="0.25">
      <c r="A414" t="s">
        <v>25</v>
      </c>
      <c r="B414" s="1" t="str">
        <f>[1]Afgrødefordeling!$C$8</f>
        <v>Roer</v>
      </c>
      <c r="C414">
        <v>2050</v>
      </c>
      <c r="D414" t="s">
        <v>8</v>
      </c>
      <c r="E414" s="173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0</v>
      </c>
      <c r="H414" s="173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0</v>
      </c>
      <c r="I414" s="173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0</v>
      </c>
    </row>
    <row r="415" spans="1:10" x14ac:dyDescent="0.25">
      <c r="A415" t="s">
        <v>25</v>
      </c>
      <c r="B415" s="1" t="str">
        <f>[1]Afgrødefordeling!$C$9</f>
        <v>Majs</v>
      </c>
      <c r="C415">
        <v>2050</v>
      </c>
      <c r="D415" t="s">
        <v>8</v>
      </c>
      <c r="E415" s="173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0</v>
      </c>
      <c r="H415" s="173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0</v>
      </c>
      <c r="I415" s="173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0</v>
      </c>
    </row>
    <row r="416" spans="1:10" x14ac:dyDescent="0.25">
      <c r="A416" t="s">
        <v>25</v>
      </c>
      <c r="B416" s="1" t="str">
        <f>[1]Afgrødefordeling!$C$10</f>
        <v>Frugt</v>
      </c>
      <c r="C416">
        <v>2050</v>
      </c>
      <c r="D416" t="s">
        <v>8</v>
      </c>
      <c r="E416" s="173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0</v>
      </c>
      <c r="H416" s="173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0</v>
      </c>
      <c r="I416" s="173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0</v>
      </c>
    </row>
    <row r="417" spans="1:10" x14ac:dyDescent="0.25">
      <c r="A417" t="s">
        <v>25</v>
      </c>
      <c r="B417" s="1" t="str">
        <f>[1]Afgrødefordeling!$C$11</f>
        <v>Øvrige</v>
      </c>
      <c r="C417">
        <v>2050</v>
      </c>
      <c r="D417" t="s">
        <v>8</v>
      </c>
      <c r="E417" s="173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0</v>
      </c>
      <c r="H417" s="173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0</v>
      </c>
      <c r="I417" s="173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0</v>
      </c>
    </row>
    <row r="418" spans="1:10" x14ac:dyDescent="0.25">
      <c r="A418" t="s">
        <v>25</v>
      </c>
      <c r="B418" s="1" t="str">
        <f>[1]Afgrødefordeling!$C$12</f>
        <v>Frø</v>
      </c>
      <c r="C418">
        <v>2050</v>
      </c>
      <c r="D418" t="s">
        <v>8</v>
      </c>
      <c r="E418" s="173" t="str">
        <f t="shared" si="63"/>
        <v>OC6</v>
      </c>
      <c r="F418" t="str">
        <f t="shared" si="62"/>
        <v>Frø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0</v>
      </c>
      <c r="H418" s="173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0</v>
      </c>
      <c r="I418" s="173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0</v>
      </c>
      <c r="J418" s="76">
        <f t="shared" si="64"/>
        <v>0</v>
      </c>
    </row>
    <row r="419" spans="1:10" x14ac:dyDescent="0.25">
      <c r="A419" t="s">
        <v>25</v>
      </c>
      <c r="B419" s="1" t="str">
        <f>[1]Afgrødefordeling!$C$13</f>
        <v>Juletræer</v>
      </c>
      <c r="C419">
        <v>2050</v>
      </c>
      <c r="D419" t="s">
        <v>8</v>
      </c>
      <c r="E419" s="173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0</v>
      </c>
      <c r="H419" s="173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0</v>
      </c>
      <c r="I419" s="173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0</v>
      </c>
    </row>
    <row r="420" spans="1:10" x14ac:dyDescent="0.25">
      <c r="A420" t="s">
        <v>25</v>
      </c>
      <c r="B420" s="1" t="str">
        <f>[1]Afgrødefordeling!$C$14</f>
        <v>Pil &amp; poppel</v>
      </c>
      <c r="C420">
        <v>2050</v>
      </c>
      <c r="D420" t="s">
        <v>8</v>
      </c>
      <c r="E420" s="173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0</v>
      </c>
      <c r="H420" s="173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0</v>
      </c>
      <c r="I420" s="173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0</v>
      </c>
    </row>
    <row r="421" spans="1:10" x14ac:dyDescent="0.25">
      <c r="A421" t="s">
        <v>25</v>
      </c>
      <c r="B421" s="1" t="str">
        <f>[1]Afgrødefordeling!$C$15</f>
        <v>Permanent græs</v>
      </c>
      <c r="C421">
        <v>2050</v>
      </c>
      <c r="D421" t="s">
        <v>8</v>
      </c>
      <c r="E421" s="173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0</v>
      </c>
      <c r="H421" s="173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0</v>
      </c>
      <c r="I421" s="173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0</v>
      </c>
    </row>
    <row r="422" spans="1:10" x14ac:dyDescent="0.25">
      <c r="A422" t="s">
        <v>25</v>
      </c>
      <c r="B422" s="1" t="str">
        <f>[1]Afgrødefordeling!$C$2</f>
        <v>Korn</v>
      </c>
      <c r="C422">
        <v>2019</v>
      </c>
      <c r="D422" t="s">
        <v>7</v>
      </c>
      <c r="E422" s="173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3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3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25">
      <c r="A423" t="s">
        <v>25</v>
      </c>
      <c r="B423" s="1" t="str">
        <f>[1]Afgrødefordeling!$C$3</f>
        <v>Bælgsæd</v>
      </c>
      <c r="C423">
        <v>2019</v>
      </c>
      <c r="D423" t="s">
        <v>7</v>
      </c>
      <c r="E423" s="173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3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3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25">
      <c r="A424" t="s">
        <v>25</v>
      </c>
      <c r="B424" s="1" t="str">
        <f>[1]Afgrødefordeling!$C$4</f>
        <v>Raps</v>
      </c>
      <c r="C424">
        <v>2019</v>
      </c>
      <c r="D424" t="s">
        <v>7</v>
      </c>
      <c r="E424" s="173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3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3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25">
      <c r="A425" t="s">
        <v>25</v>
      </c>
      <c r="B425" s="1" t="str">
        <f>[1]Afgrødefordeling!$C$5</f>
        <v>Græs</v>
      </c>
      <c r="C425">
        <v>2019</v>
      </c>
      <c r="D425" t="s">
        <v>7</v>
      </c>
      <c r="E425" s="173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3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3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25">
      <c r="A426" t="s">
        <v>25</v>
      </c>
      <c r="B426" s="1" t="str">
        <f>[1]Afgrødefordeling!$C$6</f>
        <v>Grøntsager</v>
      </c>
      <c r="C426">
        <v>2019</v>
      </c>
      <c r="D426" t="s">
        <v>7</v>
      </c>
      <c r="E426" s="173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3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3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25">
      <c r="A427" t="s">
        <v>25</v>
      </c>
      <c r="B427" s="1" t="str">
        <f>[1]Afgrødefordeling!$C$7</f>
        <v>Kartofler</v>
      </c>
      <c r="C427">
        <v>2019</v>
      </c>
      <c r="D427" t="s">
        <v>7</v>
      </c>
      <c r="E427" s="173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3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3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25">
      <c r="A428" t="s">
        <v>25</v>
      </c>
      <c r="B428" s="1" t="str">
        <f>[1]Afgrødefordeling!$C$8</f>
        <v>Roer</v>
      </c>
      <c r="C428">
        <v>2019</v>
      </c>
      <c r="D428" t="s">
        <v>7</v>
      </c>
      <c r="E428" s="173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3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3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25">
      <c r="A429" t="s">
        <v>25</v>
      </c>
      <c r="B429" s="1" t="str">
        <f>[1]Afgrødefordeling!$C$9</f>
        <v>Majs</v>
      </c>
      <c r="C429">
        <v>2019</v>
      </c>
      <c r="D429" t="s">
        <v>7</v>
      </c>
      <c r="E429" s="173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3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3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25">
      <c r="A430" t="s">
        <v>25</v>
      </c>
      <c r="B430" s="1" t="str">
        <f>[1]Afgrødefordeling!$C$10</f>
        <v>Frugt</v>
      </c>
      <c r="C430">
        <v>2019</v>
      </c>
      <c r="D430" t="s">
        <v>7</v>
      </c>
      <c r="E430" s="173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3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3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25">
      <c r="A431" t="s">
        <v>25</v>
      </c>
      <c r="B431" s="1" t="str">
        <f>[1]Afgrødefordeling!$C$11</f>
        <v>Øvrige</v>
      </c>
      <c r="C431">
        <v>2019</v>
      </c>
      <c r="D431" t="s">
        <v>7</v>
      </c>
      <c r="E431" s="173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3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3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25">
      <c r="A432" t="s">
        <v>25</v>
      </c>
      <c r="B432" s="1" t="str">
        <f>[1]Afgrødefordeling!$C$12</f>
        <v>Frø</v>
      </c>
      <c r="C432">
        <v>2019</v>
      </c>
      <c r="D432" t="s">
        <v>7</v>
      </c>
      <c r="E432" s="173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3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3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25">
      <c r="A433" t="s">
        <v>25</v>
      </c>
      <c r="B433" s="1" t="str">
        <f>[1]Afgrødefordeling!$C$13</f>
        <v>Juletræer</v>
      </c>
      <c r="C433">
        <v>2019</v>
      </c>
      <c r="D433" t="s">
        <v>7</v>
      </c>
      <c r="E433" s="173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3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3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25">
      <c r="A434" t="s">
        <v>25</v>
      </c>
      <c r="B434" s="1" t="str">
        <f>[1]Afgrødefordeling!$C$14</f>
        <v>Pil &amp; poppel</v>
      </c>
      <c r="C434">
        <v>2019</v>
      </c>
      <c r="D434" t="s">
        <v>7</v>
      </c>
      <c r="E434" s="173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3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3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25">
      <c r="A435" t="s">
        <v>25</v>
      </c>
      <c r="B435" s="1" t="str">
        <f>[1]Afgrødefordeling!$C$15</f>
        <v>Permanent græs</v>
      </c>
      <c r="C435">
        <v>2019</v>
      </c>
      <c r="D435" t="s">
        <v>7</v>
      </c>
      <c r="E435" s="173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3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3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25">
      <c r="A436" t="s">
        <v>25</v>
      </c>
      <c r="B436" s="1" t="str">
        <f>[1]Afgrødefordeling!$C$2</f>
        <v>Korn</v>
      </c>
      <c r="C436">
        <v>2030</v>
      </c>
      <c r="D436" t="s">
        <v>7</v>
      </c>
      <c r="E436" s="173" t="str">
        <f t="shared" si="65"/>
        <v>OC12</v>
      </c>
      <c r="F436" t="str">
        <f t="shared" si="62"/>
        <v>Korn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0</v>
      </c>
      <c r="H436" s="173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0</v>
      </c>
      <c r="I436" s="173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0</v>
      </c>
      <c r="J436" s="76">
        <f t="shared" si="64"/>
        <v>0</v>
      </c>
    </row>
    <row r="437" spans="1:10" x14ac:dyDescent="0.25">
      <c r="A437" t="s">
        <v>25</v>
      </c>
      <c r="B437" s="1" t="str">
        <f>[1]Afgrødefordeling!$C$3</f>
        <v>Bælgsæd</v>
      </c>
      <c r="C437">
        <v>2030</v>
      </c>
      <c r="D437" t="s">
        <v>7</v>
      </c>
      <c r="E437" s="173" t="str">
        <f t="shared" si="65"/>
        <v>OC12</v>
      </c>
      <c r="F437" t="str">
        <f t="shared" si="62"/>
        <v>Bælgsæd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0</v>
      </c>
      <c r="H437" s="173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0</v>
      </c>
      <c r="I437" s="173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0</v>
      </c>
      <c r="J437" s="76">
        <f t="shared" si="64"/>
        <v>0</v>
      </c>
    </row>
    <row r="438" spans="1:10" x14ac:dyDescent="0.25">
      <c r="A438" t="s">
        <v>25</v>
      </c>
      <c r="B438" s="1" t="str">
        <f>[1]Afgrødefordeling!$C$4</f>
        <v>Raps</v>
      </c>
      <c r="C438">
        <v>2030</v>
      </c>
      <c r="D438" t="s">
        <v>7</v>
      </c>
      <c r="E438" s="173" t="str">
        <f t="shared" si="65"/>
        <v>OC12</v>
      </c>
      <c r="F438" t="str">
        <f t="shared" si="62"/>
        <v>Raps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0</v>
      </c>
      <c r="H438" s="173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0</v>
      </c>
      <c r="I438" s="173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0</v>
      </c>
      <c r="J438" s="76">
        <f t="shared" si="64"/>
        <v>0</v>
      </c>
    </row>
    <row r="439" spans="1:10" x14ac:dyDescent="0.25">
      <c r="A439" t="s">
        <v>25</v>
      </c>
      <c r="B439" s="1" t="str">
        <f>[1]Afgrødefordeling!$C$5</f>
        <v>Græs</v>
      </c>
      <c r="C439">
        <v>2030</v>
      </c>
      <c r="D439" t="s">
        <v>7</v>
      </c>
      <c r="E439" s="173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0</v>
      </c>
      <c r="H439" s="173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0</v>
      </c>
      <c r="I439" s="173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0</v>
      </c>
    </row>
    <row r="440" spans="1:10" x14ac:dyDescent="0.25">
      <c r="A440" t="s">
        <v>25</v>
      </c>
      <c r="B440" s="1" t="str">
        <f>[1]Afgrødefordeling!$C$6</f>
        <v>Grøntsager</v>
      </c>
      <c r="C440">
        <v>2030</v>
      </c>
      <c r="D440" t="s">
        <v>7</v>
      </c>
      <c r="E440" s="173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0</v>
      </c>
      <c r="H440" s="173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0</v>
      </c>
      <c r="I440" s="173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0</v>
      </c>
    </row>
    <row r="441" spans="1:10" x14ac:dyDescent="0.25">
      <c r="A441" t="s">
        <v>25</v>
      </c>
      <c r="B441" s="1" t="str">
        <f>[1]Afgrødefordeling!$C$7</f>
        <v>Kartofler</v>
      </c>
      <c r="C441">
        <v>2030</v>
      </c>
      <c r="D441" t="s">
        <v>7</v>
      </c>
      <c r="E441" s="173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0</v>
      </c>
      <c r="H441" s="173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0</v>
      </c>
      <c r="I441" s="173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0</v>
      </c>
    </row>
    <row r="442" spans="1:10" x14ac:dyDescent="0.25">
      <c r="A442" t="s">
        <v>25</v>
      </c>
      <c r="B442" s="1" t="str">
        <f>[1]Afgrødefordeling!$C$8</f>
        <v>Roer</v>
      </c>
      <c r="C442">
        <v>2030</v>
      </c>
      <c r="D442" t="s">
        <v>7</v>
      </c>
      <c r="E442" s="173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0</v>
      </c>
      <c r="H442" s="173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0</v>
      </c>
      <c r="I442" s="173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0</v>
      </c>
    </row>
    <row r="443" spans="1:10" x14ac:dyDescent="0.25">
      <c r="A443" t="s">
        <v>25</v>
      </c>
      <c r="B443" s="1" t="str">
        <f>[1]Afgrødefordeling!$C$9</f>
        <v>Majs</v>
      </c>
      <c r="C443">
        <v>2030</v>
      </c>
      <c r="D443" t="s">
        <v>7</v>
      </c>
      <c r="E443" s="173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0</v>
      </c>
      <c r="H443" s="173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0</v>
      </c>
      <c r="I443" s="173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0</v>
      </c>
    </row>
    <row r="444" spans="1:10" x14ac:dyDescent="0.25">
      <c r="A444" t="s">
        <v>25</v>
      </c>
      <c r="B444" s="1" t="str">
        <f>[1]Afgrødefordeling!$C$10</f>
        <v>Frugt</v>
      </c>
      <c r="C444">
        <v>2030</v>
      </c>
      <c r="D444" t="s">
        <v>7</v>
      </c>
      <c r="E444" s="173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0</v>
      </c>
      <c r="H444" s="173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0</v>
      </c>
      <c r="I444" s="173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0</v>
      </c>
    </row>
    <row r="445" spans="1:10" x14ac:dyDescent="0.25">
      <c r="A445" t="s">
        <v>25</v>
      </c>
      <c r="B445" s="1" t="str">
        <f>[1]Afgrødefordeling!$C$11</f>
        <v>Øvrige</v>
      </c>
      <c r="C445">
        <v>2030</v>
      </c>
      <c r="D445" t="s">
        <v>7</v>
      </c>
      <c r="E445" s="173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0</v>
      </c>
      <c r="H445" s="173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0</v>
      </c>
      <c r="I445" s="173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0</v>
      </c>
    </row>
    <row r="446" spans="1:10" x14ac:dyDescent="0.25">
      <c r="A446" t="s">
        <v>25</v>
      </c>
      <c r="B446" s="1" t="str">
        <f>[1]Afgrødefordeling!$C$12</f>
        <v>Frø</v>
      </c>
      <c r="C446">
        <v>2030</v>
      </c>
      <c r="D446" t="s">
        <v>7</v>
      </c>
      <c r="E446" s="173" t="str">
        <f t="shared" si="65"/>
        <v>OC12</v>
      </c>
      <c r="F446" t="str">
        <f t="shared" si="62"/>
        <v>Frø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0</v>
      </c>
      <c r="H446" s="173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0</v>
      </c>
      <c r="I446" s="173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0</v>
      </c>
      <c r="J446" s="76">
        <f t="shared" si="64"/>
        <v>0</v>
      </c>
    </row>
    <row r="447" spans="1:10" x14ac:dyDescent="0.25">
      <c r="A447" t="s">
        <v>25</v>
      </c>
      <c r="B447" s="1" t="str">
        <f>[1]Afgrødefordeling!$C$13</f>
        <v>Juletræer</v>
      </c>
      <c r="C447">
        <v>2030</v>
      </c>
      <c r="D447" t="s">
        <v>7</v>
      </c>
      <c r="E447" s="173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0</v>
      </c>
      <c r="H447" s="173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0</v>
      </c>
      <c r="I447" s="173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0</v>
      </c>
    </row>
    <row r="448" spans="1:10" x14ac:dyDescent="0.25">
      <c r="A448" t="s">
        <v>25</v>
      </c>
      <c r="B448" s="1" t="str">
        <f>[1]Afgrødefordeling!$C$14</f>
        <v>Pil &amp; poppel</v>
      </c>
      <c r="C448">
        <v>2030</v>
      </c>
      <c r="D448" t="s">
        <v>7</v>
      </c>
      <c r="E448" s="173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0</v>
      </c>
      <c r="H448" s="173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0</v>
      </c>
      <c r="I448" s="173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0</v>
      </c>
    </row>
    <row r="449" spans="1:10" x14ac:dyDescent="0.25">
      <c r="A449" t="s">
        <v>25</v>
      </c>
      <c r="B449" s="1" t="str">
        <f>[1]Afgrødefordeling!$C$15</f>
        <v>Permanent græs</v>
      </c>
      <c r="C449">
        <v>2030</v>
      </c>
      <c r="D449" t="s">
        <v>7</v>
      </c>
      <c r="E449" s="173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0</v>
      </c>
      <c r="H449" s="173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0</v>
      </c>
      <c r="I449" s="173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0</v>
      </c>
    </row>
    <row r="450" spans="1:10" x14ac:dyDescent="0.25">
      <c r="A450" t="s">
        <v>25</v>
      </c>
      <c r="B450" s="1" t="str">
        <f>[1]Afgrødefordeling!$C$2</f>
        <v>Korn</v>
      </c>
      <c r="C450">
        <v>2050</v>
      </c>
      <c r="D450" t="s">
        <v>7</v>
      </c>
      <c r="E450" s="173" t="str">
        <f t="shared" si="65"/>
        <v>OC12</v>
      </c>
      <c r="F450" t="str">
        <f t="shared" si="62"/>
        <v>Korn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0</v>
      </c>
      <c r="H450" s="173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0</v>
      </c>
      <c r="I450" s="173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0</v>
      </c>
      <c r="J450" s="76">
        <f t="shared" si="64"/>
        <v>0</v>
      </c>
    </row>
    <row r="451" spans="1:10" x14ac:dyDescent="0.25">
      <c r="A451" t="s">
        <v>25</v>
      </c>
      <c r="B451" s="1" t="str">
        <f>[1]Afgrødefordeling!$C$3</f>
        <v>Bælgsæd</v>
      </c>
      <c r="C451">
        <v>2050</v>
      </c>
      <c r="D451" t="s">
        <v>7</v>
      </c>
      <c r="E451" s="173" t="str">
        <f t="shared" si="65"/>
        <v>OC12</v>
      </c>
      <c r="F451" t="str">
        <f t="shared" si="62"/>
        <v>Bælgsæd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0</v>
      </c>
      <c r="H451" s="173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0</v>
      </c>
      <c r="I451" s="173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0</v>
      </c>
      <c r="J451" s="76">
        <f t="shared" si="64"/>
        <v>0</v>
      </c>
    </row>
    <row r="452" spans="1:10" x14ac:dyDescent="0.25">
      <c r="A452" t="s">
        <v>25</v>
      </c>
      <c r="B452" s="1" t="str">
        <f>[1]Afgrødefordeling!$C$4</f>
        <v>Raps</v>
      </c>
      <c r="C452">
        <v>2050</v>
      </c>
      <c r="D452" t="s">
        <v>7</v>
      </c>
      <c r="E452" s="173" t="str">
        <f t="shared" si="65"/>
        <v>OC12</v>
      </c>
      <c r="F452" t="str">
        <f t="shared" si="62"/>
        <v>Raps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0</v>
      </c>
      <c r="H452" s="173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0</v>
      </c>
      <c r="I452" s="173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0</v>
      </c>
      <c r="J452" s="76">
        <f t="shared" si="64"/>
        <v>0</v>
      </c>
    </row>
    <row r="453" spans="1:10" x14ac:dyDescent="0.25">
      <c r="A453" t="s">
        <v>25</v>
      </c>
      <c r="B453" s="1" t="str">
        <f>[1]Afgrødefordeling!$C$5</f>
        <v>Græs</v>
      </c>
      <c r="C453">
        <v>2050</v>
      </c>
      <c r="D453" t="s">
        <v>7</v>
      </c>
      <c r="E453" s="173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0</v>
      </c>
      <c r="H453" s="173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0</v>
      </c>
      <c r="I453" s="173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0</v>
      </c>
    </row>
    <row r="454" spans="1:10" x14ac:dyDescent="0.25">
      <c r="A454" t="s">
        <v>25</v>
      </c>
      <c r="B454" s="1" t="str">
        <f>[1]Afgrødefordeling!$C$6</f>
        <v>Grøntsager</v>
      </c>
      <c r="C454">
        <v>2050</v>
      </c>
      <c r="D454" t="s">
        <v>7</v>
      </c>
      <c r="E454" s="173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0</v>
      </c>
      <c r="H454" s="173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0</v>
      </c>
      <c r="I454" s="173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0</v>
      </c>
    </row>
    <row r="455" spans="1:10" x14ac:dyDescent="0.25">
      <c r="A455" t="s">
        <v>25</v>
      </c>
      <c r="B455" s="1" t="str">
        <f>[1]Afgrødefordeling!$C$7</f>
        <v>Kartofler</v>
      </c>
      <c r="C455">
        <v>2050</v>
      </c>
      <c r="D455" t="s">
        <v>7</v>
      </c>
      <c r="E455" s="173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0</v>
      </c>
      <c r="H455" s="173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0</v>
      </c>
      <c r="I455" s="173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0</v>
      </c>
    </row>
    <row r="456" spans="1:10" x14ac:dyDescent="0.25">
      <c r="A456" t="s">
        <v>25</v>
      </c>
      <c r="B456" s="1" t="str">
        <f>[1]Afgrødefordeling!$C$8</f>
        <v>Roer</v>
      </c>
      <c r="C456">
        <v>2050</v>
      </c>
      <c r="D456" t="s">
        <v>7</v>
      </c>
      <c r="E456" s="173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0</v>
      </c>
      <c r="H456" s="173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0</v>
      </c>
      <c r="I456" s="173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0</v>
      </c>
    </row>
    <row r="457" spans="1:10" x14ac:dyDescent="0.25">
      <c r="A457" t="s">
        <v>25</v>
      </c>
      <c r="B457" s="1" t="str">
        <f>[1]Afgrødefordeling!$C$9</f>
        <v>Majs</v>
      </c>
      <c r="C457">
        <v>2050</v>
      </c>
      <c r="D457" t="s">
        <v>7</v>
      </c>
      <c r="E457" s="173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0</v>
      </c>
      <c r="H457" s="173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0</v>
      </c>
      <c r="I457" s="173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0</v>
      </c>
    </row>
    <row r="458" spans="1:10" x14ac:dyDescent="0.25">
      <c r="A458" t="s">
        <v>25</v>
      </c>
      <c r="B458" s="1" t="str">
        <f>[1]Afgrødefordeling!$C$10</f>
        <v>Frugt</v>
      </c>
      <c r="C458">
        <v>2050</v>
      </c>
      <c r="D458" t="s">
        <v>7</v>
      </c>
      <c r="E458" s="173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0</v>
      </c>
      <c r="H458" s="173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0</v>
      </c>
      <c r="I458" s="173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0</v>
      </c>
    </row>
    <row r="459" spans="1:10" x14ac:dyDescent="0.25">
      <c r="A459" t="s">
        <v>25</v>
      </c>
      <c r="B459" s="1" t="str">
        <f>[1]Afgrødefordeling!$C$11</f>
        <v>Øvrige</v>
      </c>
      <c r="C459">
        <v>2050</v>
      </c>
      <c r="D459" t="s">
        <v>7</v>
      </c>
      <c r="E459" s="173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0</v>
      </c>
      <c r="H459" s="173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0</v>
      </c>
      <c r="I459" s="173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0</v>
      </c>
    </row>
    <row r="460" spans="1:10" x14ac:dyDescent="0.25">
      <c r="A460" t="s">
        <v>25</v>
      </c>
      <c r="B460" s="1" t="str">
        <f>[1]Afgrødefordeling!$C$12</f>
        <v>Frø</v>
      </c>
      <c r="C460">
        <v>2050</v>
      </c>
      <c r="D460" t="s">
        <v>7</v>
      </c>
      <c r="E460" s="173" t="str">
        <f t="shared" si="66"/>
        <v>OC12</v>
      </c>
      <c r="F460" t="str">
        <f t="shared" si="62"/>
        <v>Frø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0</v>
      </c>
      <c r="H460" s="173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0</v>
      </c>
      <c r="I460" s="173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0</v>
      </c>
      <c r="J460" s="76">
        <f t="shared" si="64"/>
        <v>0</v>
      </c>
    </row>
    <row r="461" spans="1:10" x14ac:dyDescent="0.25">
      <c r="A461" t="s">
        <v>25</v>
      </c>
      <c r="B461" s="1" t="str">
        <f>[1]Afgrødefordeling!$C$13</f>
        <v>Juletræer</v>
      </c>
      <c r="C461">
        <v>2050</v>
      </c>
      <c r="D461" t="s">
        <v>7</v>
      </c>
      <c r="E461" s="173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0</v>
      </c>
      <c r="H461" s="173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0</v>
      </c>
      <c r="I461" s="173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0</v>
      </c>
    </row>
    <row r="462" spans="1:10" x14ac:dyDescent="0.25">
      <c r="A462" t="s">
        <v>25</v>
      </c>
      <c r="B462" s="1" t="str">
        <f>[1]Afgrødefordeling!$C$14</f>
        <v>Pil &amp; poppel</v>
      </c>
      <c r="C462">
        <v>2050</v>
      </c>
      <c r="D462" t="s">
        <v>7</v>
      </c>
      <c r="E462" s="173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0</v>
      </c>
      <c r="H462" s="173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0</v>
      </c>
      <c r="I462" s="173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0</v>
      </c>
    </row>
    <row r="463" spans="1:10" x14ac:dyDescent="0.25">
      <c r="A463" t="s">
        <v>25</v>
      </c>
      <c r="B463" s="1" t="str">
        <f>[1]Afgrødefordeling!$C$15</f>
        <v>Permanent græs</v>
      </c>
      <c r="C463">
        <v>2050</v>
      </c>
      <c r="D463" t="s">
        <v>7</v>
      </c>
      <c r="E463" s="173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0</v>
      </c>
      <c r="H463" s="173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0</v>
      </c>
      <c r="I463" s="173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0</v>
      </c>
    </row>
    <row r="464" spans="1:10" x14ac:dyDescent="0.25">
      <c r="A464" t="s">
        <v>25</v>
      </c>
      <c r="B464" s="1" t="str">
        <f>[1]Afgrødefordeling!$C$2</f>
        <v>Korn</v>
      </c>
      <c r="C464">
        <v>2019</v>
      </c>
      <c r="D464" t="s">
        <v>8</v>
      </c>
      <c r="E464" s="173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3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3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25">
      <c r="A465" t="s">
        <v>25</v>
      </c>
      <c r="B465" s="1" t="str">
        <f>[1]Afgrødefordeling!$C$3</f>
        <v>Bælgsæd</v>
      </c>
      <c r="C465">
        <v>2019</v>
      </c>
      <c r="D465" t="s">
        <v>8</v>
      </c>
      <c r="E465" s="173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3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3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25">
      <c r="A466" t="s">
        <v>25</v>
      </c>
      <c r="B466" s="1" t="str">
        <f>[1]Afgrødefordeling!$C$4</f>
        <v>Raps</v>
      </c>
      <c r="C466">
        <v>2019</v>
      </c>
      <c r="D466" t="s">
        <v>8</v>
      </c>
      <c r="E466" s="173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3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3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25">
      <c r="A467" t="s">
        <v>25</v>
      </c>
      <c r="B467" s="1" t="str">
        <f>[1]Afgrødefordeling!$C$5</f>
        <v>Græs</v>
      </c>
      <c r="C467">
        <v>2019</v>
      </c>
      <c r="D467" t="s">
        <v>8</v>
      </c>
      <c r="E467" s="173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3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3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25">
      <c r="A468" t="s">
        <v>25</v>
      </c>
      <c r="B468" s="1" t="str">
        <f>[1]Afgrødefordeling!$C$6</f>
        <v>Grøntsager</v>
      </c>
      <c r="C468">
        <v>2019</v>
      </c>
      <c r="D468" t="s">
        <v>8</v>
      </c>
      <c r="E468" s="173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3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3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25">
      <c r="A469" t="s">
        <v>25</v>
      </c>
      <c r="B469" s="1" t="str">
        <f>[1]Afgrødefordeling!$C$7</f>
        <v>Kartofler</v>
      </c>
      <c r="C469">
        <v>2019</v>
      </c>
      <c r="D469" t="s">
        <v>8</v>
      </c>
      <c r="E469" s="173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3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3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25">
      <c r="A470" t="s">
        <v>25</v>
      </c>
      <c r="B470" s="1" t="str">
        <f>[1]Afgrødefordeling!$C$8</f>
        <v>Roer</v>
      </c>
      <c r="C470">
        <v>2019</v>
      </c>
      <c r="D470" t="s">
        <v>8</v>
      </c>
      <c r="E470" s="173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3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3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25">
      <c r="A471" t="s">
        <v>25</v>
      </c>
      <c r="B471" s="1" t="str">
        <f>[1]Afgrødefordeling!$C$9</f>
        <v>Majs</v>
      </c>
      <c r="C471">
        <v>2019</v>
      </c>
      <c r="D471" t="s">
        <v>8</v>
      </c>
      <c r="E471" s="173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3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3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25">
      <c r="A472" t="s">
        <v>25</v>
      </c>
      <c r="B472" s="1" t="str">
        <f>[1]Afgrødefordeling!$C$10</f>
        <v>Frugt</v>
      </c>
      <c r="C472">
        <v>2019</v>
      </c>
      <c r="D472" t="s">
        <v>8</v>
      </c>
      <c r="E472" s="173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3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3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25">
      <c r="A473" t="s">
        <v>25</v>
      </c>
      <c r="B473" s="1" t="str">
        <f>[1]Afgrødefordeling!$C$11</f>
        <v>Øvrige</v>
      </c>
      <c r="C473">
        <v>2019</v>
      </c>
      <c r="D473" t="s">
        <v>8</v>
      </c>
      <c r="E473" s="173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3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3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25">
      <c r="A474" t="s">
        <v>25</v>
      </c>
      <c r="B474" s="1" t="str">
        <f>[1]Afgrødefordeling!$C$12</f>
        <v>Frø</v>
      </c>
      <c r="C474">
        <v>2019</v>
      </c>
      <c r="D474" t="s">
        <v>8</v>
      </c>
      <c r="E474" s="173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3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3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25">
      <c r="A475" t="s">
        <v>25</v>
      </c>
      <c r="B475" s="1" t="str">
        <f>[1]Afgrødefordeling!$C$13</f>
        <v>Juletræer</v>
      </c>
      <c r="C475">
        <v>2019</v>
      </c>
      <c r="D475" t="s">
        <v>8</v>
      </c>
      <c r="E475" s="173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3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3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25">
      <c r="A476" t="s">
        <v>25</v>
      </c>
      <c r="B476" s="1" t="str">
        <f>[1]Afgrødefordeling!$C$14</f>
        <v>Pil &amp; poppel</v>
      </c>
      <c r="C476">
        <v>2019</v>
      </c>
      <c r="D476" t="s">
        <v>8</v>
      </c>
      <c r="E476" s="173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3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3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25">
      <c r="A477" t="s">
        <v>25</v>
      </c>
      <c r="B477" s="1" t="str">
        <f>[1]Afgrødefordeling!$C$15</f>
        <v>Permanent græs</v>
      </c>
      <c r="C477">
        <v>2019</v>
      </c>
      <c r="D477" t="s">
        <v>8</v>
      </c>
      <c r="E477" s="173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3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3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25">
      <c r="A478" t="s">
        <v>25</v>
      </c>
      <c r="B478" s="1" t="str">
        <f>[1]Afgrødefordeling!$C$2</f>
        <v>Korn</v>
      </c>
      <c r="C478">
        <v>2030</v>
      </c>
      <c r="D478" t="s">
        <v>8</v>
      </c>
      <c r="E478" s="173" t="str">
        <f t="shared" si="66"/>
        <v>OC12</v>
      </c>
      <c r="F478" t="str">
        <f t="shared" si="67"/>
        <v>Korn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0</v>
      </c>
      <c r="H478" s="173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0</v>
      </c>
      <c r="I478" s="173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0</v>
      </c>
      <c r="J478" s="76">
        <f t="shared" si="68"/>
        <v>0</v>
      </c>
    </row>
    <row r="479" spans="1:10" x14ac:dyDescent="0.25">
      <c r="A479" t="s">
        <v>25</v>
      </c>
      <c r="B479" s="1" t="str">
        <f>[1]Afgrødefordeling!$C$3</f>
        <v>Bælgsæd</v>
      </c>
      <c r="C479">
        <v>2030</v>
      </c>
      <c r="D479" t="s">
        <v>8</v>
      </c>
      <c r="E479" s="173" t="str">
        <f t="shared" si="66"/>
        <v>OC12</v>
      </c>
      <c r="F479" t="str">
        <f t="shared" si="67"/>
        <v>Bælgsæd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0</v>
      </c>
      <c r="H479" s="173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0</v>
      </c>
      <c r="I479" s="173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0</v>
      </c>
      <c r="J479" s="76">
        <f t="shared" si="68"/>
        <v>0</v>
      </c>
    </row>
    <row r="480" spans="1:10" x14ac:dyDescent="0.25">
      <c r="A480" t="s">
        <v>25</v>
      </c>
      <c r="B480" s="1" t="str">
        <f>[1]Afgrødefordeling!$C$4</f>
        <v>Raps</v>
      </c>
      <c r="C480">
        <v>2030</v>
      </c>
      <c r="D480" t="s">
        <v>8</v>
      </c>
      <c r="E480" s="173" t="str">
        <f t="shared" si="66"/>
        <v>OC12</v>
      </c>
      <c r="F480" t="str">
        <f t="shared" si="67"/>
        <v>Raps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0</v>
      </c>
      <c r="H480" s="173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0</v>
      </c>
      <c r="I480" s="173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0</v>
      </c>
      <c r="J480" s="76">
        <f t="shared" si="68"/>
        <v>0</v>
      </c>
    </row>
    <row r="481" spans="1:10" x14ac:dyDescent="0.25">
      <c r="A481" t="s">
        <v>25</v>
      </c>
      <c r="B481" s="1" t="str">
        <f>[1]Afgrødefordeling!$C$5</f>
        <v>Græs</v>
      </c>
      <c r="C481">
        <v>2030</v>
      </c>
      <c r="D481" t="s">
        <v>8</v>
      </c>
      <c r="E481" s="173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0</v>
      </c>
      <c r="H481" s="173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0</v>
      </c>
      <c r="I481" s="173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0</v>
      </c>
    </row>
    <row r="482" spans="1:10" x14ac:dyDescent="0.25">
      <c r="A482" t="s">
        <v>25</v>
      </c>
      <c r="B482" s="1" t="str">
        <f>[1]Afgrødefordeling!$C$6</f>
        <v>Grøntsager</v>
      </c>
      <c r="C482">
        <v>2030</v>
      </c>
      <c r="D482" t="s">
        <v>8</v>
      </c>
      <c r="E482" s="173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</v>
      </c>
      <c r="H482" s="173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0</v>
      </c>
      <c r="I482" s="173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0</v>
      </c>
    </row>
    <row r="483" spans="1:10" x14ac:dyDescent="0.25">
      <c r="A483" t="s">
        <v>25</v>
      </c>
      <c r="B483" s="1" t="str">
        <f>[1]Afgrødefordeling!$C$7</f>
        <v>Kartofler</v>
      </c>
      <c r="C483">
        <v>2030</v>
      </c>
      <c r="D483" t="s">
        <v>8</v>
      </c>
      <c r="E483" s="173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0</v>
      </c>
      <c r="H483" s="173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0</v>
      </c>
      <c r="I483" s="173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0</v>
      </c>
    </row>
    <row r="484" spans="1:10" x14ac:dyDescent="0.25">
      <c r="A484" t="s">
        <v>25</v>
      </c>
      <c r="B484" s="1" t="str">
        <f>[1]Afgrødefordeling!$C$8</f>
        <v>Roer</v>
      </c>
      <c r="C484">
        <v>2030</v>
      </c>
      <c r="D484" t="s">
        <v>8</v>
      </c>
      <c r="E484" s="173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0</v>
      </c>
      <c r="H484" s="173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0</v>
      </c>
      <c r="I484" s="173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0</v>
      </c>
    </row>
    <row r="485" spans="1:10" x14ac:dyDescent="0.25">
      <c r="A485" t="s">
        <v>25</v>
      </c>
      <c r="B485" s="1" t="str">
        <f>[1]Afgrødefordeling!$C$9</f>
        <v>Majs</v>
      </c>
      <c r="C485">
        <v>2030</v>
      </c>
      <c r="D485" t="s">
        <v>8</v>
      </c>
      <c r="E485" s="173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0</v>
      </c>
      <c r="H485" s="173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0</v>
      </c>
      <c r="I485" s="173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0</v>
      </c>
    </row>
    <row r="486" spans="1:10" x14ac:dyDescent="0.25">
      <c r="A486" t="s">
        <v>25</v>
      </c>
      <c r="B486" s="1" t="str">
        <f>[1]Afgrødefordeling!$C$10</f>
        <v>Frugt</v>
      </c>
      <c r="C486">
        <v>2030</v>
      </c>
      <c r="D486" t="s">
        <v>8</v>
      </c>
      <c r="E486" s="173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0</v>
      </c>
      <c r="H486" s="173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0</v>
      </c>
      <c r="I486" s="173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0</v>
      </c>
    </row>
    <row r="487" spans="1:10" x14ac:dyDescent="0.25">
      <c r="A487" t="s">
        <v>25</v>
      </c>
      <c r="B487" s="1" t="str">
        <f>[1]Afgrødefordeling!$C$11</f>
        <v>Øvrige</v>
      </c>
      <c r="C487">
        <v>2030</v>
      </c>
      <c r="D487" t="s">
        <v>8</v>
      </c>
      <c r="E487" s="173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0</v>
      </c>
      <c r="H487" s="173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0</v>
      </c>
      <c r="I487" s="173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0</v>
      </c>
    </row>
    <row r="488" spans="1:10" x14ac:dyDescent="0.25">
      <c r="A488" t="s">
        <v>25</v>
      </c>
      <c r="B488" s="1" t="str">
        <f>[1]Afgrødefordeling!$C$12</f>
        <v>Frø</v>
      </c>
      <c r="C488">
        <v>2030</v>
      </c>
      <c r="D488" t="s">
        <v>8</v>
      </c>
      <c r="E488" s="173" t="str">
        <f t="shared" si="69"/>
        <v>OC12</v>
      </c>
      <c r="F488" t="str">
        <f t="shared" si="67"/>
        <v>Frø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0</v>
      </c>
      <c r="H488" s="173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0</v>
      </c>
      <c r="I488" s="173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0</v>
      </c>
      <c r="J488" s="76">
        <f t="shared" ref="J488:J505" si="70">IF(I488&lt;&gt;0,I488,H488)</f>
        <v>0</v>
      </c>
    </row>
    <row r="489" spans="1:10" x14ac:dyDescent="0.25">
      <c r="A489" t="s">
        <v>25</v>
      </c>
      <c r="B489" s="1" t="str">
        <f>[1]Afgrødefordeling!$C$13</f>
        <v>Juletræer</v>
      </c>
      <c r="C489">
        <v>2030</v>
      </c>
      <c r="D489" t="s">
        <v>8</v>
      </c>
      <c r="E489" s="173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0</v>
      </c>
      <c r="H489" s="173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0</v>
      </c>
      <c r="I489" s="173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0</v>
      </c>
    </row>
    <row r="490" spans="1:10" x14ac:dyDescent="0.25">
      <c r="A490" t="s">
        <v>25</v>
      </c>
      <c r="B490" s="1" t="str">
        <f>[1]Afgrødefordeling!$C$14</f>
        <v>Pil &amp; poppel</v>
      </c>
      <c r="C490">
        <v>2030</v>
      </c>
      <c r="D490" t="s">
        <v>8</v>
      </c>
      <c r="E490" s="173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0</v>
      </c>
      <c r="H490" s="173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0</v>
      </c>
      <c r="I490" s="173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0</v>
      </c>
    </row>
    <row r="491" spans="1:10" x14ac:dyDescent="0.25">
      <c r="A491" t="s">
        <v>25</v>
      </c>
      <c r="B491" s="1" t="str">
        <f>[1]Afgrødefordeling!$C$15</f>
        <v>Permanent græs</v>
      </c>
      <c r="C491">
        <v>2030</v>
      </c>
      <c r="D491" t="s">
        <v>8</v>
      </c>
      <c r="E491" s="173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0</v>
      </c>
      <c r="H491" s="173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0</v>
      </c>
      <c r="I491" s="173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0</v>
      </c>
    </row>
    <row r="492" spans="1:10" x14ac:dyDescent="0.25">
      <c r="A492" t="s">
        <v>25</v>
      </c>
      <c r="B492" s="1" t="str">
        <f>[1]Afgrødefordeling!$C$2</f>
        <v>Korn</v>
      </c>
      <c r="C492">
        <v>2050</v>
      </c>
      <c r="D492" t="s">
        <v>8</v>
      </c>
      <c r="E492" s="173" t="str">
        <f t="shared" si="69"/>
        <v>OC12</v>
      </c>
      <c r="F492" t="str">
        <f t="shared" si="67"/>
        <v>Korn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0</v>
      </c>
      <c r="H492" s="173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0</v>
      </c>
      <c r="I492" s="173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0</v>
      </c>
      <c r="J492" s="76">
        <f t="shared" si="70"/>
        <v>0</v>
      </c>
    </row>
    <row r="493" spans="1:10" x14ac:dyDescent="0.25">
      <c r="A493" t="s">
        <v>25</v>
      </c>
      <c r="B493" s="1" t="str">
        <f>[1]Afgrødefordeling!$C$3</f>
        <v>Bælgsæd</v>
      </c>
      <c r="C493">
        <v>2050</v>
      </c>
      <c r="D493" t="s">
        <v>8</v>
      </c>
      <c r="E493" s="173" t="str">
        <f t="shared" si="69"/>
        <v>OC12</v>
      </c>
      <c r="F493" t="str">
        <f t="shared" si="67"/>
        <v>Bælgsæd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0</v>
      </c>
      <c r="H493" s="173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0</v>
      </c>
      <c r="I493" s="173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0</v>
      </c>
      <c r="J493" s="76">
        <f t="shared" si="70"/>
        <v>0</v>
      </c>
    </row>
    <row r="494" spans="1:10" x14ac:dyDescent="0.25">
      <c r="A494" t="s">
        <v>25</v>
      </c>
      <c r="B494" s="1" t="str">
        <f>[1]Afgrødefordeling!$C$4</f>
        <v>Raps</v>
      </c>
      <c r="C494">
        <v>2050</v>
      </c>
      <c r="D494" t="s">
        <v>8</v>
      </c>
      <c r="E494" s="173" t="str">
        <f t="shared" si="69"/>
        <v>OC12</v>
      </c>
      <c r="F494" t="str">
        <f t="shared" si="67"/>
        <v>Raps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0</v>
      </c>
      <c r="H494" s="173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0</v>
      </c>
      <c r="I494" s="173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0</v>
      </c>
      <c r="J494" s="76">
        <f t="shared" si="70"/>
        <v>0</v>
      </c>
    </row>
    <row r="495" spans="1:10" x14ac:dyDescent="0.25">
      <c r="A495" t="s">
        <v>25</v>
      </c>
      <c r="B495" s="1" t="str">
        <f>[1]Afgrødefordeling!$C$5</f>
        <v>Græs</v>
      </c>
      <c r="C495">
        <v>2050</v>
      </c>
      <c r="D495" t="s">
        <v>8</v>
      </c>
      <c r="E495" s="173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0</v>
      </c>
      <c r="H495" s="173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0</v>
      </c>
      <c r="I495" s="173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0</v>
      </c>
    </row>
    <row r="496" spans="1:10" x14ac:dyDescent="0.25">
      <c r="A496" t="s">
        <v>25</v>
      </c>
      <c r="B496" s="1" t="str">
        <f>[1]Afgrødefordeling!$C$6</f>
        <v>Grøntsager</v>
      </c>
      <c r="C496">
        <v>2050</v>
      </c>
      <c r="D496" t="s">
        <v>8</v>
      </c>
      <c r="E496" s="173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0</v>
      </c>
      <c r="H496" s="173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0</v>
      </c>
      <c r="I496" s="173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0</v>
      </c>
    </row>
    <row r="497" spans="1:10" x14ac:dyDescent="0.25">
      <c r="A497" t="s">
        <v>25</v>
      </c>
      <c r="B497" s="1" t="str">
        <f>[1]Afgrødefordeling!$C$7</f>
        <v>Kartofler</v>
      </c>
      <c r="C497">
        <v>2050</v>
      </c>
      <c r="D497" t="s">
        <v>8</v>
      </c>
      <c r="E497" s="173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0</v>
      </c>
      <c r="H497" s="173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0</v>
      </c>
      <c r="I497" s="173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0</v>
      </c>
    </row>
    <row r="498" spans="1:10" x14ac:dyDescent="0.25">
      <c r="A498" t="s">
        <v>25</v>
      </c>
      <c r="B498" s="1" t="str">
        <f>[1]Afgrødefordeling!$C$8</f>
        <v>Roer</v>
      </c>
      <c r="C498">
        <v>2050</v>
      </c>
      <c r="D498" t="s">
        <v>8</v>
      </c>
      <c r="E498" s="173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0</v>
      </c>
      <c r="H498" s="173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0</v>
      </c>
      <c r="I498" s="173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0</v>
      </c>
    </row>
    <row r="499" spans="1:10" x14ac:dyDescent="0.25">
      <c r="A499" t="s">
        <v>25</v>
      </c>
      <c r="B499" s="1" t="str">
        <f>[1]Afgrødefordeling!$C$9</f>
        <v>Majs</v>
      </c>
      <c r="C499">
        <v>2050</v>
      </c>
      <c r="D499" t="s">
        <v>8</v>
      </c>
      <c r="E499" s="173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0</v>
      </c>
      <c r="H499" s="173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0</v>
      </c>
      <c r="I499" s="173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0</v>
      </c>
    </row>
    <row r="500" spans="1:10" x14ac:dyDescent="0.25">
      <c r="A500" t="s">
        <v>25</v>
      </c>
      <c r="B500" s="1" t="str">
        <f>[1]Afgrødefordeling!$C$10</f>
        <v>Frugt</v>
      </c>
      <c r="C500">
        <v>2050</v>
      </c>
      <c r="D500" t="s">
        <v>8</v>
      </c>
      <c r="E500" s="173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0</v>
      </c>
      <c r="H500" s="173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0</v>
      </c>
      <c r="I500" s="173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0</v>
      </c>
    </row>
    <row r="501" spans="1:10" x14ac:dyDescent="0.25">
      <c r="A501" t="s">
        <v>25</v>
      </c>
      <c r="B501" s="1" t="str">
        <f>[1]Afgrødefordeling!$C$11</f>
        <v>Øvrige</v>
      </c>
      <c r="C501">
        <v>2050</v>
      </c>
      <c r="D501" t="s">
        <v>8</v>
      </c>
      <c r="E501" s="173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0</v>
      </c>
      <c r="H501" s="173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0</v>
      </c>
      <c r="I501" s="173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0</v>
      </c>
    </row>
    <row r="502" spans="1:10" x14ac:dyDescent="0.25">
      <c r="A502" t="s">
        <v>25</v>
      </c>
      <c r="B502" s="1" t="str">
        <f>[1]Afgrødefordeling!$C$12</f>
        <v>Frø</v>
      </c>
      <c r="C502">
        <v>2050</v>
      </c>
      <c r="D502" t="s">
        <v>8</v>
      </c>
      <c r="E502" s="173" t="str">
        <f t="shared" si="69"/>
        <v>OC12</v>
      </c>
      <c r="F502" t="str">
        <f t="shared" si="67"/>
        <v>Frø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0</v>
      </c>
      <c r="H502" s="173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0</v>
      </c>
      <c r="I502" s="173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0</v>
      </c>
      <c r="J502" s="76">
        <f t="shared" si="70"/>
        <v>0</v>
      </c>
    </row>
    <row r="503" spans="1:10" x14ac:dyDescent="0.25">
      <c r="A503" t="s">
        <v>25</v>
      </c>
      <c r="B503" s="1" t="str">
        <f>[1]Afgrødefordeling!$C$13</f>
        <v>Juletræer</v>
      </c>
      <c r="C503">
        <v>2050</v>
      </c>
      <c r="D503" t="s">
        <v>8</v>
      </c>
      <c r="E503" s="173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0</v>
      </c>
      <c r="H503" s="173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0</v>
      </c>
      <c r="I503" s="173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0</v>
      </c>
    </row>
    <row r="504" spans="1:10" x14ac:dyDescent="0.25">
      <c r="A504" t="s">
        <v>25</v>
      </c>
      <c r="B504" s="1" t="str">
        <f>[1]Afgrødefordeling!$C$14</f>
        <v>Pil &amp; poppel</v>
      </c>
      <c r="C504">
        <v>2050</v>
      </c>
      <c r="D504" t="s">
        <v>8</v>
      </c>
      <c r="E504" s="173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0</v>
      </c>
      <c r="H504" s="173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0</v>
      </c>
      <c r="I504" s="173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0</v>
      </c>
    </row>
    <row r="505" spans="1:10" x14ac:dyDescent="0.25">
      <c r="A505" t="s">
        <v>25</v>
      </c>
      <c r="B505" s="1" t="str">
        <f>[1]Afgrødefordeling!$C$15</f>
        <v>Permanent græs</v>
      </c>
      <c r="C505">
        <v>2050</v>
      </c>
      <c r="D505" t="s">
        <v>8</v>
      </c>
      <c r="E505" s="173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0</v>
      </c>
      <c r="H505" s="173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0</v>
      </c>
      <c r="I505" s="173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0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2021-09-09T09:27:24Z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998775184154510</vt:r8>
  </property>
</Properties>
</file>