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055607A6-ADA6-4AB9-86D2-4B34B642B227}" xr6:coauthVersionLast="47" xr6:coauthVersionMax="47" xr10:uidLastSave="{00000000-0000-0000-0000-000000000000}"/>
  <bookViews>
    <workbookView xWindow="28680" yWindow="-120" windowWidth="29040" windowHeight="15840" tabRatio="945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60" r:id="rId37"/>
    <pivotCache cacheId="65" r:id="rId38"/>
    <pivotCache cacheId="70" r:id="rId39"/>
    <pivotCache cacheId="76" r:id="rId40"/>
    <pivotCache cacheId="81" r:id="rId41"/>
    <pivotCache cacheId="86" r:id="rId42"/>
    <pivotCache cacheId="90" r:id="rId43"/>
    <pivotCache cacheId="9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H3" i="72" l="1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I119" i="41" s="1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01" i="41" l="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4" i="41" s="1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2" i="41" s="1"/>
  <c r="J74" i="37"/>
  <c r="J74" i="41" s="1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6" i="41" s="1"/>
  <c r="I35" i="37"/>
  <c r="I35" i="41" s="1"/>
  <c r="I38" i="37"/>
  <c r="I38" i="41" s="1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28" i="41" l="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5" i="41" s="1"/>
  <c r="J64" i="37"/>
  <c r="J63" i="37"/>
  <c r="J66" i="37"/>
  <c r="J66" i="41" s="1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18" i="41" s="1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I17" i="41" l="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J4" i="58" l="1"/>
  <c r="J4" i="37"/>
  <c r="I4" i="58"/>
  <c r="I4" i="37"/>
  <c r="H4" i="37" l="1"/>
  <c r="H4" i="58"/>
  <c r="F53" i="66"/>
  <c r="I4" i="41"/>
  <c r="D45" i="39" s="1"/>
  <c r="E19" i="53"/>
  <c r="N4" i="58"/>
  <c r="F197" i="66"/>
  <c r="E25" i="53"/>
  <c r="L45" i="39"/>
  <c r="J4" i="41"/>
  <c r="E45" i="39" s="1"/>
  <c r="E31" i="53"/>
  <c r="F101" i="66"/>
  <c r="F245" i="66"/>
  <c r="O4" i="58"/>
  <c r="E37" i="53"/>
  <c r="M45" i="39"/>
  <c r="E56" i="39" l="1"/>
  <c r="E124" i="38"/>
  <c r="E59" i="39"/>
  <c r="E60" i="39" s="1"/>
  <c r="L59" i="39"/>
  <c r="L60" i="39" s="1"/>
  <c r="E158" i="38"/>
  <c r="L56" i="39"/>
  <c r="E175" i="38"/>
  <c r="M56" i="39"/>
  <c r="M59" i="39"/>
  <c r="M60" i="39" s="1"/>
  <c r="D59" i="39"/>
  <c r="D60" i="39" s="1"/>
  <c r="E107" i="38"/>
  <c r="D56" i="39"/>
  <c r="F149" i="66"/>
  <c r="M4" i="58"/>
  <c r="E13" i="53"/>
  <c r="H4" i="41"/>
  <c r="K45" i="39" s="1"/>
  <c r="E7" i="53"/>
  <c r="F5" i="66"/>
  <c r="C45" i="39"/>
  <c r="J474" i="58" l="1"/>
  <c r="D37" i="53"/>
  <c r="F37" i="53" s="1"/>
  <c r="J466" i="58"/>
  <c r="J245" i="66"/>
  <c r="C59" i="39"/>
  <c r="C60" i="39" s="1"/>
  <c r="E90" i="38"/>
  <c r="C56" i="39"/>
  <c r="M57" i="39"/>
  <c r="M58" i="39"/>
  <c r="L57" i="39"/>
  <c r="L58" i="39"/>
  <c r="J197" i="66"/>
  <c r="D25" i="53"/>
  <c r="F25" i="53" s="1"/>
  <c r="I474" i="58"/>
  <c r="I466" i="58"/>
  <c r="D57" i="39"/>
  <c r="D58" i="39"/>
  <c r="J474" i="37"/>
  <c r="J101" i="66"/>
  <c r="D31" i="53"/>
  <c r="F31" i="53" s="1"/>
  <c r="H37" i="53" s="1"/>
  <c r="J466" i="37"/>
  <c r="I466" i="37"/>
  <c r="I474" i="37"/>
  <c r="D19" i="53"/>
  <c r="F19" i="53" s="1"/>
  <c r="H25" i="53" s="1"/>
  <c r="J53" i="66"/>
  <c r="E57" i="39"/>
  <c r="E58" i="39"/>
  <c r="K56" i="39"/>
  <c r="K59" i="39"/>
  <c r="K60" i="39" s="1"/>
  <c r="E141" i="38"/>
  <c r="S53" i="66" l="1"/>
  <c r="W53" i="66"/>
  <c r="P53" i="66"/>
  <c r="N53" i="66"/>
  <c r="I489" i="37"/>
  <c r="F54" i="66"/>
  <c r="I466" i="41"/>
  <c r="G25" i="53"/>
  <c r="H19" i="53"/>
  <c r="G19" i="53" s="1"/>
  <c r="S197" i="66"/>
  <c r="W197" i="66"/>
  <c r="P197" i="66"/>
  <c r="N197" i="66"/>
  <c r="O197" i="66" s="1"/>
  <c r="J479" i="37"/>
  <c r="J474" i="41"/>
  <c r="F103" i="66"/>
  <c r="C58" i="39"/>
  <c r="C57" i="39"/>
  <c r="S101" i="66"/>
  <c r="W101" i="66"/>
  <c r="P101" i="66"/>
  <c r="N101" i="66"/>
  <c r="H474" i="37"/>
  <c r="H466" i="37"/>
  <c r="J5" i="66"/>
  <c r="D7" i="53"/>
  <c r="F7" i="53" s="1"/>
  <c r="J489" i="37"/>
  <c r="F102" i="66"/>
  <c r="J466" i="41"/>
  <c r="K58" i="39"/>
  <c r="K57" i="39"/>
  <c r="I479" i="37"/>
  <c r="F55" i="66"/>
  <c r="J149" i="66"/>
  <c r="H474" i="58"/>
  <c r="H466" i="58"/>
  <c r="D13" i="53"/>
  <c r="F13" i="53" s="1"/>
  <c r="H7" i="53" s="1"/>
  <c r="I489" i="58"/>
  <c r="F198" i="66"/>
  <c r="S245" i="66"/>
  <c r="W245" i="66"/>
  <c r="P245" i="66"/>
  <c r="N245" i="66"/>
  <c r="O245" i="66" s="1"/>
  <c r="I474" i="41"/>
  <c r="F199" i="66"/>
  <c r="I479" i="58"/>
  <c r="F246" i="66"/>
  <c r="J489" i="58"/>
  <c r="G37" i="53"/>
  <c r="H31" i="53"/>
  <c r="G31" i="53" s="1"/>
  <c r="J479" i="58"/>
  <c r="F247" i="66"/>
  <c r="H489" i="58" l="1"/>
  <c r="F150" i="66"/>
  <c r="F6" i="66"/>
  <c r="H489" i="37"/>
  <c r="H466" i="41"/>
  <c r="L246" i="66"/>
  <c r="P246" i="66" s="1"/>
  <c r="H479" i="37"/>
  <c r="F7" i="66"/>
  <c r="H474" i="41"/>
  <c r="E384" i="38"/>
  <c r="K247" i="66" s="1"/>
  <c r="N247" i="66" s="1"/>
  <c r="J480" i="58"/>
  <c r="E385" i="38" s="1"/>
  <c r="K266" i="66" s="1"/>
  <c r="N266" i="66" s="1"/>
  <c r="W149" i="66"/>
  <c r="S149" i="66"/>
  <c r="P149" i="66"/>
  <c r="V149" i="66" s="1"/>
  <c r="X149" i="66" s="1"/>
  <c r="N149" i="66"/>
  <c r="O101" i="66"/>
  <c r="Z245" i="66"/>
  <c r="Y245" i="66"/>
  <c r="Z101" i="66"/>
  <c r="Y101" i="66"/>
  <c r="E307" i="38"/>
  <c r="E313" i="38"/>
  <c r="I479" i="41"/>
  <c r="E360" i="38"/>
  <c r="K55" i="66" s="1"/>
  <c r="N55" i="66" s="1"/>
  <c r="I480" i="37"/>
  <c r="E325" i="38"/>
  <c r="M197" i="66" s="1"/>
  <c r="E319" i="38"/>
  <c r="L102" i="66"/>
  <c r="P102" i="66" s="1"/>
  <c r="E349" i="38"/>
  <c r="M245" i="66" s="1"/>
  <c r="E343" i="38"/>
  <c r="Q245" i="66"/>
  <c r="V245" i="66"/>
  <c r="X245" i="66" s="1"/>
  <c r="U245" i="66"/>
  <c r="L54" i="66"/>
  <c r="P54" i="66" s="1"/>
  <c r="N54" i="66"/>
  <c r="H479" i="58"/>
  <c r="F151" i="66"/>
  <c r="E378" i="38"/>
  <c r="K199" i="66" s="1"/>
  <c r="N199" i="66" s="1"/>
  <c r="Z55" i="66" s="1"/>
  <c r="I480" i="58"/>
  <c r="E379" i="38" s="1"/>
  <c r="K218" i="66" s="1"/>
  <c r="N218" i="66" s="1"/>
  <c r="I489" i="41"/>
  <c r="Y197" i="66"/>
  <c r="O53" i="66"/>
  <c r="Y53" i="66"/>
  <c r="Z197" i="66"/>
  <c r="Z53" i="66"/>
  <c r="L198" i="66"/>
  <c r="P198" i="66" s="1"/>
  <c r="N198" i="66"/>
  <c r="O198" i="66" s="1"/>
  <c r="J489" i="41"/>
  <c r="E331" i="38"/>
  <c r="E337" i="38"/>
  <c r="H13" i="53"/>
  <c r="G13" i="53" s="1"/>
  <c r="G7" i="53"/>
  <c r="J480" i="37"/>
  <c r="J479" i="41"/>
  <c r="E366" i="38"/>
  <c r="K103" i="66" s="1"/>
  <c r="N103" i="66" s="1"/>
  <c r="S5" i="66"/>
  <c r="W5" i="66"/>
  <c r="P5" i="66"/>
  <c r="V5" i="66" s="1"/>
  <c r="X5" i="66" s="1"/>
  <c r="N5" i="66"/>
  <c r="U197" i="66"/>
  <c r="Q197" i="66"/>
  <c r="V197" i="66"/>
  <c r="X197" i="66" s="1"/>
  <c r="H489" i="41" l="1"/>
  <c r="N246" i="66"/>
  <c r="Y247" i="66"/>
  <c r="Z103" i="66"/>
  <c r="Z247" i="66"/>
  <c r="Y103" i="66"/>
  <c r="Q53" i="66"/>
  <c r="U53" i="66"/>
  <c r="V53" i="66"/>
  <c r="X53" i="66" s="1"/>
  <c r="L245" i="66"/>
  <c r="R245" i="66" s="1"/>
  <c r="T245" i="66" s="1"/>
  <c r="J486" i="58"/>
  <c r="J480" i="41"/>
  <c r="E367" i="38"/>
  <c r="K122" i="66" s="1"/>
  <c r="N122" i="66" s="1"/>
  <c r="I486" i="37"/>
  <c r="L53" i="66"/>
  <c r="E283" i="38"/>
  <c r="E289" i="38"/>
  <c r="N102" i="66"/>
  <c r="H479" i="41"/>
  <c r="H480" i="37"/>
  <c r="E354" i="38"/>
  <c r="K7" i="66" s="1"/>
  <c r="N7" i="66" s="1"/>
  <c r="O246" i="66"/>
  <c r="L197" i="66"/>
  <c r="R197" i="66" s="1"/>
  <c r="T197" i="66" s="1"/>
  <c r="I486" i="58"/>
  <c r="U101" i="66"/>
  <c r="Q101" i="66"/>
  <c r="V101" i="66"/>
  <c r="X101" i="66" s="1"/>
  <c r="E295" i="38"/>
  <c r="E301" i="38"/>
  <c r="M149" i="66" s="1"/>
  <c r="M101" i="66"/>
  <c r="G18" i="39" s="1"/>
  <c r="D20" i="8"/>
  <c r="L101" i="66"/>
  <c r="J486" i="37"/>
  <c r="J486" i="41" s="1"/>
  <c r="O149" i="66"/>
  <c r="E361" i="38"/>
  <c r="K74" i="66" s="1"/>
  <c r="N74" i="66" s="1"/>
  <c r="I480" i="41"/>
  <c r="Z149" i="66"/>
  <c r="Y5" i="66"/>
  <c r="Y149" i="66"/>
  <c r="O5" i="66"/>
  <c r="Z5" i="66"/>
  <c r="E372" i="38"/>
  <c r="K151" i="66" s="1"/>
  <c r="N151" i="66" s="1"/>
  <c r="H480" i="58"/>
  <c r="E373" i="38" s="1"/>
  <c r="K170" i="66" s="1"/>
  <c r="N170" i="66" s="1"/>
  <c r="O54" i="66"/>
  <c r="Y198" i="66"/>
  <c r="Z54" i="66"/>
  <c r="Z198" i="66"/>
  <c r="Y54" i="66"/>
  <c r="L6" i="66"/>
  <c r="P6" i="66" s="1"/>
  <c r="V6" i="66" s="1"/>
  <c r="X6" i="66" s="1"/>
  <c r="Q198" i="66"/>
  <c r="U198" i="66"/>
  <c r="V198" i="66"/>
  <c r="X198" i="66" s="1"/>
  <c r="L150" i="66"/>
  <c r="P150" i="66" s="1"/>
  <c r="V150" i="66" s="1"/>
  <c r="X150" i="66" s="1"/>
  <c r="N150" i="66"/>
  <c r="Y55" i="66"/>
  <c r="Z199" i="66"/>
  <c r="Y199" i="66"/>
  <c r="M53" i="66"/>
  <c r="F18" i="39" s="1"/>
  <c r="C20" i="8"/>
  <c r="Y266" i="66" l="1"/>
  <c r="Y122" i="66"/>
  <c r="Z122" i="66"/>
  <c r="Z266" i="66"/>
  <c r="Z218" i="66"/>
  <c r="Y218" i="66"/>
  <c r="Y74" i="66"/>
  <c r="Z74" i="66"/>
  <c r="U149" i="66"/>
  <c r="Q149" i="66"/>
  <c r="Q246" i="66"/>
  <c r="V246" i="66"/>
  <c r="X246" i="66" s="1"/>
  <c r="U246" i="66"/>
  <c r="Y151" i="66"/>
  <c r="Z7" i="66"/>
  <c r="Z151" i="66"/>
  <c r="Y7" i="66"/>
  <c r="H480" i="41"/>
  <c r="E355" i="38"/>
  <c r="K26" i="66" s="1"/>
  <c r="N26" i="66" s="1"/>
  <c r="U54" i="66"/>
  <c r="Q54" i="66"/>
  <c r="V54" i="66"/>
  <c r="X54" i="66" s="1"/>
  <c r="R53" i="66"/>
  <c r="T53" i="66" s="1"/>
  <c r="Y246" i="66"/>
  <c r="Z102" i="66"/>
  <c r="Z246" i="66"/>
  <c r="O102" i="66"/>
  <c r="Y102" i="66"/>
  <c r="B20" i="8"/>
  <c r="M5" i="66"/>
  <c r="Q5" i="66"/>
  <c r="U5" i="66"/>
  <c r="H486" i="58"/>
  <c r="L149" i="66"/>
  <c r="R149" i="66" s="1"/>
  <c r="T149" i="66" s="1"/>
  <c r="H486" i="37"/>
  <c r="H486" i="41" s="1"/>
  <c r="L5" i="66"/>
  <c r="R5" i="66" s="1"/>
  <c r="T5" i="66" s="1"/>
  <c r="N6" i="66"/>
  <c r="O150" i="66" s="1"/>
  <c r="R101" i="66"/>
  <c r="T101" i="66" s="1"/>
  <c r="I486" i="41"/>
  <c r="U150" i="66" l="1"/>
  <c r="Q150" i="66"/>
  <c r="Z6" i="66"/>
  <c r="O6" i="66"/>
  <c r="Z150" i="66"/>
  <c r="Y6" i="66"/>
  <c r="Y150" i="66"/>
  <c r="Z170" i="66"/>
  <c r="Y170" i="66"/>
  <c r="Y26" i="66"/>
  <c r="Z26" i="66"/>
  <c r="Q102" i="66"/>
  <c r="U102" i="66"/>
  <c r="V102" i="66"/>
  <c r="X102" i="66" s="1"/>
  <c r="Q6" i="66" l="1"/>
  <c r="U6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<sst xmlns="http://schemas.openxmlformats.org/spreadsheetml/2006/main" count="4669" uniqueCount="343">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</sst>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3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9597731.076909367</c:v>
                </c:pt>
                <c:pt idx="2">
                  <c:v>9238493.3130771164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1002383.4251010446</c:v>
                </c:pt>
                <c:pt idx="2">
                  <c:v>953433.53878271766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15770289.144075628</c:v>
                </c:pt>
                <c:pt idx="2">
                  <c:v>15029002.18033967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552772.32309063291</c:v>
                </c:pt>
                <c:pt idx="2">
                  <c:v>912010.08692288375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210555.77489895534</c:v>
                </c:pt>
                <c:pt idx="2">
                  <c:v>259505.66121728224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3034725.0559243709</c:v>
                </c:pt>
                <c:pt idx="2">
                  <c:v>3776012.0196603313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240738.79472010836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230377.75918826333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[BAUm20.xlsm]Resultat-Tørstof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 t="e">
            <v>#REF!</v>
          </cell>
          <cell r="I4" t="e">
            <v>#REF!</v>
          </cell>
          <cell r="J4" t="e">
            <v>#REF!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12507986114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Blank="1" containsMixedTypes="1" containsNumber="1" minValue="0" maxValue="12818096.4339148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12508217592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12508449076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12508564815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125087963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2021935.467929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2021935.46792996"/>
    </cacheField>
    <cacheField name="Materialer og processer" numFmtId="3">
      <sharedItems containsMixedTypes="1" containsNumber="1" minValue="0" maxValue="640280.13059892249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2021935.467929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 count="3">
        <n v="0"/>
        <e v="#REF!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12509027777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2021935.467929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2021935.46792996"/>
    </cacheField>
    <cacheField name="Materialer og processer" numFmtId="3">
      <sharedItems containsMixedTypes="1" containsNumber="1" minValue="0" maxValue="640280.13059892249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2021935.467929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  <cacheField name="Import at least one year" numFmtId="0">
      <sharedItems containsMixedTypes="1" containsNumber="1" containsInteger="1" minValue="0" maxValue="1"/>
    </cacheField>
    <cacheField name="Export at least one year" numFmtId="0">
      <sharedItems containsMixedTypes="1" containsNumber="1" containsInteger="1" minValue="0" maxValue="1" count="3">
        <n v="1"/>
        <e v="#REF!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12509375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12509606485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482021935.46792996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MixedTypes="1" containsNumber="1" minValue="0" maxValue="9867457.5006151944"/>
    </cacheField>
    <cacheField name="Gødning" numFmtId="3">
      <sharedItems containsMixedTypes="1" containsNumber="1" minValue="0" maxValue="12818096.433914844"/>
    </cacheField>
    <cacheField name="Energi" numFmtId="3">
      <sharedItems containsMixedTypes="1" containsNumber="1" minValue="0" maxValue="482021935.46792996"/>
    </cacheField>
    <cacheField name="Materialer og processer" numFmtId="3">
      <sharedItems containsMixedTypes="1" containsNumber="1" minValue="0" maxValue="640280.13059892249"/>
    </cacheField>
    <cacheField name="Produktion minus forbrug [ton]" numFmtId="3">
      <sharedItems containsMixedTypes="1" containsNumber="1" minValue="-4828427.5390456235" maxValue="4922001.9803787302"/>
    </cacheField>
    <cacheField name="Potentiale til energi [ton]" numFmtId="3">
      <sharedItems containsMixedTypes="1" containsNumber="1" minValue="0" maxValue="4150059.6334856153"/>
    </cacheField>
    <cacheField name="Forbrug energi [ton/m3]" numFmtId="3">
      <sharedItems containsMixedTypes="1" containsNumber="1" minValue="0" maxValue="482021935.46792996"/>
    </cacheField>
    <cacheField name="Potentiale til energi [PJ]" numFmtId="0">
      <sharedItems containsMixedTypes="1" containsNumber="1" minValue="0" maxValue="7.635590968159347"/>
    </cacheField>
    <cacheField name="Forbrug/potentiale [PJ]" numFmtId="0">
      <sharedItems containsMixedTypes="1" containsNumber="1" minValue="0" maxValue="33.750241076188566"/>
    </cacheField>
    <cacheField name="Biogasproduktion [PJ]" numFmtId="0">
      <sharedItems containsMixedTypes="1" containsNumber="1" minValue="0" maxValue="4.9948083122364055"/>
    </cacheField>
    <cacheField name="Biomasser til energi eksl. biogas [PJ]" numFmtId="0">
      <sharedItems containsMixedTypes="1" containsNumber="1" minValue="0" maxValue="33.750241076188566"/>
    </cacheField>
    <cacheField name="Potentiale til energi [Ton TS]" numFmtId="0">
      <sharedItems containsMixedTypes="1" containsNumber="1" minValue="0" maxValue="1162016.6973759723"/>
    </cacheField>
    <cacheField name="Forbrug/potentiale [Ton TS]" numFmtId="0">
      <sharedItems containsMixedTypes="1" containsNumber="1" minValue="0" maxValue="1183188.6340533185"/>
    </cacheField>
    <cacheField name="Biogasproduktion [Ton TS]" numFmtId="0">
      <sharedItems containsMixedTypes="1" containsNumber="1" minValue="0" maxValue="749926.77004675474"/>
    </cacheField>
    <cacheField name="Biomasser til energi eksl. biogas [Ton TS]" numFmtId="0">
      <sharedItems containsMixedTypes="1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e v="#REF!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e v="#REF!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e v="#REF!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e v="#REF!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e v="#REF!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e v="#REF!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e v="#REF!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e v="#REF!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e v="#REF!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e v="#REF!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e v="#REF!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e v="#REF!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e v="#REF!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e v="#REF!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e v="#REF!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e v="#REF!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e v="#REF!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e v="#REF!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e v="#REF!"/>
  </r>
  <r>
    <x v="5"/>
    <s v="Vestdanmark"/>
    <x v="39"/>
    <x v="0"/>
    <e v="#REF!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e v="#REF!"/>
  </r>
  <r>
    <x v="5"/>
    <s v="Vestdanmark"/>
    <x v="39"/>
    <x v="1"/>
    <e v="#REF!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e v="#REF!"/>
  </r>
  <r>
    <x v="5"/>
    <s v="Vestdanmark"/>
    <x v="39"/>
    <x v="2"/>
    <e v="#REF!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e v="#REF!"/>
  </r>
  <r>
    <x v="5"/>
    <s v="Østdanmark"/>
    <x v="39"/>
    <x v="0"/>
    <e v="#REF!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e v="#REF!"/>
  </r>
  <r>
    <x v="5"/>
    <s v="Østdanmark"/>
    <x v="39"/>
    <x v="1"/>
    <e v="#REF!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e v="#REF!"/>
  </r>
  <r>
    <x v="5"/>
    <s v="Østdanmark"/>
    <x v="39"/>
    <x v="2"/>
    <e v="#REF!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4672965.75604105"/>
    <n v="0"/>
    <n v="0"/>
    <n v="0"/>
    <n v="0"/>
    <n v="0"/>
    <n v="314672965.75604105"/>
    <n v="0"/>
    <n v="0"/>
    <n v="0"/>
    <n v="314672965.75604105"/>
    <n v="0"/>
    <n v="0"/>
    <n v="0"/>
    <n v="0"/>
    <n v="0"/>
    <n v="0"/>
    <n v="0"/>
    <n v="0"/>
    <x v="0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2021935.46792996"/>
    <n v="0"/>
    <n v="0"/>
    <n v="0"/>
    <n v="0"/>
    <n v="0"/>
    <n v="482021935.46792996"/>
    <n v="0"/>
    <n v="0"/>
    <n v="0"/>
    <n v="482021935.46792996"/>
    <n v="0"/>
    <n v="0"/>
    <n v="0"/>
    <n v="0"/>
    <n v="0"/>
    <n v="0"/>
    <n v="0"/>
    <n v="0"/>
    <x v="0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79387919.39485246"/>
    <n v="0"/>
    <n v="0"/>
    <n v="0"/>
    <n v="0"/>
    <n v="0"/>
    <n v="479387919.39485246"/>
    <n v="0"/>
    <n v="0"/>
    <n v="0"/>
    <n v="479387919.39485246"/>
    <n v="0"/>
    <n v="0"/>
    <n v="0"/>
    <n v="0"/>
    <n v="0"/>
    <n v="0"/>
    <n v="0"/>
    <n v="0"/>
    <x v="0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78969506.49395892"/>
    <n v="0"/>
    <n v="0"/>
    <n v="0"/>
    <n v="0"/>
    <n v="0"/>
    <n v="78969506.49395892"/>
    <n v="0"/>
    <n v="0"/>
    <n v="0"/>
    <n v="78969506.49395892"/>
    <n v="0"/>
    <n v="0"/>
    <n v="0"/>
    <n v="0"/>
    <n v="0"/>
    <n v="0"/>
    <n v="0"/>
    <n v="0"/>
    <x v="0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2762575.816859305"/>
    <n v="0"/>
    <n v="0"/>
    <n v="0"/>
    <n v="0"/>
    <n v="0"/>
    <n v="92762575.816859305"/>
    <n v="0"/>
    <n v="0"/>
    <n v="0"/>
    <n v="92762575.816859305"/>
    <n v="0"/>
    <n v="0"/>
    <n v="0"/>
    <n v="0"/>
    <n v="0"/>
    <n v="0"/>
    <n v="0"/>
    <n v="0"/>
    <x v="0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3496114.408062264"/>
    <n v="0"/>
    <n v="0"/>
    <n v="0"/>
    <n v="0"/>
    <n v="0"/>
    <n v="93496114.408062264"/>
    <n v="0"/>
    <n v="0"/>
    <n v="0"/>
    <n v="93496114.408062264"/>
    <n v="0"/>
    <n v="0"/>
    <n v="0"/>
    <n v="0"/>
    <n v="0"/>
    <n v="0"/>
    <n v="0"/>
    <n v="0"/>
    <x v="0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Vestdanmark"/>
    <n v="314672965.75604105"/>
    <n v="0"/>
    <n v="0"/>
    <n v="0"/>
    <n v="0"/>
    <n v="0"/>
    <n v="314672965.75604105"/>
    <n v="0"/>
    <n v="0"/>
    <n v="0"/>
    <n v="314672965.75604105"/>
    <n v="0"/>
    <n v="0"/>
    <n v="0"/>
    <n v="0"/>
    <n v="0"/>
    <n v="0"/>
    <n v="0"/>
    <n v="0"/>
    <n v="0"/>
    <x v="2"/>
  </r>
  <r>
    <x v="4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2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2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2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2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2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2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2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2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2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2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2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2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Vestdanmark"/>
    <n v="482021935.46792996"/>
    <n v="0"/>
    <n v="0"/>
    <n v="0"/>
    <n v="0"/>
    <n v="0"/>
    <n v="482021935.46792996"/>
    <n v="0"/>
    <n v="0"/>
    <n v="0"/>
    <n v="482021935.46792996"/>
    <n v="0"/>
    <n v="0"/>
    <n v="0"/>
    <n v="0"/>
    <n v="0"/>
    <n v="0"/>
    <n v="0"/>
    <n v="0"/>
    <n v="0"/>
    <x v="2"/>
  </r>
  <r>
    <x v="4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2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2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2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2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2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2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2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2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2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2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Vestdanmark"/>
    <n v="479387919.39485246"/>
    <n v="0"/>
    <n v="0"/>
    <n v="0"/>
    <n v="0"/>
    <n v="0"/>
    <n v="479387919.39485246"/>
    <n v="0"/>
    <n v="0"/>
    <n v="0"/>
    <n v="479387919.39485246"/>
    <n v="0"/>
    <n v="0"/>
    <n v="0"/>
    <n v="0"/>
    <n v="0"/>
    <n v="0"/>
    <n v="0"/>
    <n v="0"/>
    <n v="0"/>
    <x v="2"/>
  </r>
  <r>
    <x v="4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2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2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2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2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2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2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2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2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2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2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2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2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2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m/>
    <n v="1"/>
    <x v="0"/>
    <s v="Østdanmark"/>
    <n v="78969506.49395892"/>
    <n v="0"/>
    <n v="0"/>
    <n v="0"/>
    <n v="0"/>
    <n v="0"/>
    <n v="78969506.49395892"/>
    <n v="0"/>
    <n v="0"/>
    <n v="0"/>
    <n v="78969506.49395892"/>
    <n v="0"/>
    <n v="0"/>
    <n v="0"/>
    <n v="0"/>
    <n v="0"/>
    <n v="0"/>
    <n v="0"/>
    <n v="0"/>
    <n v="0"/>
    <x v="2"/>
  </r>
  <r>
    <x v="4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2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2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2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2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2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2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2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2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2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2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2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2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2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1"/>
    <s v="Østdanmark"/>
    <n v="92762575.816859305"/>
    <n v="0"/>
    <n v="0"/>
    <n v="0"/>
    <n v="0"/>
    <n v="0"/>
    <n v="92762575.816859305"/>
    <n v="0"/>
    <n v="0"/>
    <n v="0"/>
    <n v="92762575.816859305"/>
    <n v="0"/>
    <n v="0"/>
    <n v="0"/>
    <n v="0"/>
    <n v="0"/>
    <n v="0"/>
    <n v="0"/>
    <n v="0"/>
    <n v="0"/>
    <x v="2"/>
  </r>
  <r>
    <x v="4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2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2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2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2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2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2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2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2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2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2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2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2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2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  <e v="#REF!"/>
    <x v="1"/>
  </r>
  <r>
    <x v="3"/>
    <s v=""/>
    <n v="1"/>
    <x v="2"/>
    <s v="Østdanmark"/>
    <n v="93496114.408062264"/>
    <n v="0"/>
    <n v="0"/>
    <n v="0"/>
    <n v="0"/>
    <n v="0"/>
    <n v="93496114.408062264"/>
    <n v="0"/>
    <n v="0"/>
    <n v="0"/>
    <n v="93496114.408062264"/>
    <n v="0"/>
    <n v="0"/>
    <n v="0"/>
    <n v="0"/>
    <n v="0"/>
    <n v="0"/>
    <n v="0"/>
    <n v="0"/>
    <n v="0"/>
    <x v="2"/>
  </r>
  <r>
    <x v="4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2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2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2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2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2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2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2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2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  <e v="#REF!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2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2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2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2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2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2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2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Vestdanmark"/>
    <n v="314672965.75604105"/>
    <n v="0"/>
    <n v="0"/>
    <n v="0"/>
    <n v="0"/>
    <n v="0"/>
    <n v="314672965.75604105"/>
    <n v="0"/>
    <n v="0"/>
    <n v="0"/>
    <n v="314672965.75604105"/>
    <n v="0"/>
    <n v="0"/>
    <n v="0"/>
    <n v="0"/>
    <n v="0"/>
    <n v="0"/>
    <n v="0"/>
    <n v="0"/>
  </r>
  <r>
    <x v="4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Vestdanmark"/>
    <n v="482021935.46792996"/>
    <n v="0"/>
    <n v="0"/>
    <n v="0"/>
    <n v="0"/>
    <n v="0"/>
    <n v="482021935.46792996"/>
    <n v="0"/>
    <n v="0"/>
    <n v="0"/>
    <n v="482021935.46792996"/>
    <n v="0"/>
    <n v="0"/>
    <n v="0"/>
    <n v="0"/>
    <n v="0"/>
    <n v="0"/>
    <n v="0"/>
    <n v="0"/>
  </r>
  <r>
    <x v="4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Vestdanmark"/>
    <n v="479387919.39485246"/>
    <n v="0"/>
    <n v="0"/>
    <n v="0"/>
    <n v="0"/>
    <n v="0"/>
    <n v="479387919.39485246"/>
    <n v="0"/>
    <n v="0"/>
    <n v="0"/>
    <n v="479387919.39485246"/>
    <n v="0"/>
    <n v="0"/>
    <n v="0"/>
    <n v="0"/>
    <n v="0"/>
    <n v="0"/>
    <n v="0"/>
    <n v="0"/>
  </r>
  <r>
    <x v="4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0"/>
    <n v="1"/>
    <x v="0"/>
    <s v="Østdanmark"/>
    <n v="78969506.49395892"/>
    <n v="0"/>
    <n v="0"/>
    <n v="0"/>
    <n v="0"/>
    <n v="0"/>
    <n v="78969506.49395892"/>
    <n v="0"/>
    <n v="0"/>
    <n v="0"/>
    <n v="78969506.49395892"/>
    <n v="0"/>
    <n v="0"/>
    <n v="0"/>
    <n v="0"/>
    <n v="0"/>
    <n v="0"/>
    <n v="0"/>
    <n v="0"/>
  </r>
  <r>
    <x v="4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1"/>
    <s v="Østdanmark"/>
    <n v="92762575.816859305"/>
    <n v="0"/>
    <n v="0"/>
    <n v="0"/>
    <n v="0"/>
    <n v="0"/>
    <n v="92762575.816859305"/>
    <n v="0"/>
    <n v="0"/>
    <n v="0"/>
    <n v="92762575.816859305"/>
    <n v="0"/>
    <n v="0"/>
    <n v="0"/>
    <n v="0"/>
    <n v="0"/>
    <n v="0"/>
    <n v="0"/>
    <n v="0"/>
  </r>
  <r>
    <x v="4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0"/>
    <n v="0"/>
    <n v="0"/>
    <n v="0"/>
    <e v="#REF!"/>
    <n v="0"/>
    <e v="#REF!"/>
    <e v="#REF!"/>
    <e v="#REF!"/>
    <e v="#REF!"/>
    <e v="#REF!"/>
    <e v="#REF!"/>
    <e v="#REF!"/>
    <e v="#REF!"/>
    <e v="#REF!"/>
    <e v="#REF!"/>
    <e v="#REF!"/>
    <e v="#REF!"/>
    <e v="#REF!"/>
  </r>
  <r>
    <x v="3"/>
    <x v="10"/>
    <n v="1"/>
    <x v="2"/>
    <s v="Østdanmark"/>
    <n v="93496114.408062264"/>
    <n v="0"/>
    <n v="0"/>
    <n v="0"/>
    <n v="0"/>
    <n v="0"/>
    <n v="93496114.408062264"/>
    <n v="0"/>
    <n v="0"/>
    <n v="0"/>
    <n v="93496114.408062264"/>
    <n v="0"/>
    <n v="0"/>
    <n v="0"/>
    <n v="0"/>
    <n v="0"/>
    <n v="0"/>
    <n v="0"/>
    <n v="0"/>
  </r>
  <r>
    <x v="4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e v="#REF!"/>
    <n v="0"/>
    <n v="0"/>
    <e v="#REF!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6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H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3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8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H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2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7">
    <i>
      <x v="8"/>
    </i>
    <i>
      <x v="10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86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Z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4">
        <item x="2"/>
        <item x="0"/>
        <item x="1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5">
    <i>
      <x/>
    </i>
    <i>
      <x v="1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5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7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7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tabSelected="1" zoomScale="80" zoomScaleNormal="80" workbookViewId="0">
      <selection activeCell="C2" sqref="C2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5" t="s">
        <v>276</v>
      </c>
      <c r="B1" s="345"/>
      <c r="D1" s="75" t="s">
        <v>289</v>
      </c>
    </row>
    <row r="2" spans="1:6" ht="30" x14ac:dyDescent="0.25">
      <c r="A2" s="6" t="s">
        <v>0</v>
      </c>
      <c r="B2" s="225" t="s">
        <v>342</v>
      </c>
    </row>
    <row r="4" spans="1:6" ht="30" customHeight="1" thickBot="1" x14ac:dyDescent="0.3">
      <c r="A4" s="344" t="s">
        <v>275</v>
      </c>
      <c r="B4" s="344"/>
      <c r="D4" s="75"/>
    </row>
    <row r="5" spans="1:6" ht="15.75" thickTop="1" x14ac:dyDescent="0.25">
      <c r="A5" s="257" t="s">
        <v>86</v>
      </c>
      <c r="B5" s="256" t="s">
        <v>309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46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46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310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Q123"/>
  <sheetViews>
    <sheetView zoomScale="60" zoomScaleNormal="60" workbookViewId="0">
      <selection activeCell="Q39" sqref="Q39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384" width="9.140625" style="1"/>
  </cols>
  <sheetData>
    <row r="1" spans="1:17" ht="15" customHeight="1" x14ac:dyDescent="0.25">
      <c r="A1" s="255" t="s">
        <v>303</v>
      </c>
      <c r="B1" s="254"/>
      <c r="C1" s="347" t="s">
        <v>302</v>
      </c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  <c r="P1" s="347"/>
      <c r="Q1" s="347"/>
    </row>
    <row r="2" spans="1:17" ht="15" customHeight="1" x14ac:dyDescent="0.25">
      <c r="A2" s="254"/>
      <c r="B2" s="254"/>
      <c r="C2" s="347"/>
      <c r="D2" s="347"/>
      <c r="E2" s="347"/>
      <c r="F2" s="347"/>
      <c r="G2" s="347"/>
      <c r="H2" s="347"/>
      <c r="I2" s="347"/>
      <c r="J2" s="347"/>
      <c r="K2" s="347"/>
      <c r="L2" s="347"/>
      <c r="M2" s="347"/>
      <c r="N2" s="347"/>
      <c r="O2" s="347"/>
      <c r="P2" s="347"/>
      <c r="Q2" s="347"/>
    </row>
    <row r="3" spans="1:17" x14ac:dyDescent="0.25">
      <c r="A3" s="75"/>
    </row>
    <row r="123" spans="3:3" x14ac:dyDescent="0.25">
      <c r="C123" s="182"/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311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0.8</v>
      </c>
      <c r="E11" s="3">
        <v>0.8</v>
      </c>
      <c r="G11" s="12"/>
      <c r="I11" s="1"/>
    </row>
    <row r="12" spans="1:9" x14ac:dyDescent="0.25">
      <c r="B12" s="2" t="s">
        <v>3</v>
      </c>
      <c r="C12" s="7">
        <v>1</v>
      </c>
      <c r="D12" s="3">
        <v>0.8</v>
      </c>
      <c r="E12" s="3">
        <v>0.8</v>
      </c>
      <c r="G12" s="12"/>
      <c r="I12" s="1"/>
    </row>
    <row r="13" spans="1:9" x14ac:dyDescent="0.25">
      <c r="B13" s="2" t="s">
        <v>4</v>
      </c>
      <c r="C13" s="7">
        <v>1</v>
      </c>
      <c r="D13" s="3">
        <v>0.8</v>
      </c>
      <c r="E13" s="3">
        <v>0.8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0" t="s">
        <v>331</v>
      </c>
      <c r="C20" s="25"/>
      <c r="D20" s="25"/>
      <c r="E20" s="25"/>
      <c r="F20" s="12"/>
      <c r="I20" s="1"/>
    </row>
    <row r="21" spans="2:11" ht="29.45" customHeight="1" x14ac:dyDescent="0.25">
      <c r="B21" s="350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8" t="s">
        <v>330</v>
      </c>
      <c r="C30" s="25"/>
      <c r="D30" s="25"/>
      <c r="E30" s="25"/>
      <c r="K30" s="12"/>
    </row>
    <row r="31" spans="2:11" x14ac:dyDescent="0.25">
      <c r="B31" s="349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321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322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323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1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335</v>
      </c>
    </row>
    <row r="48" spans="1:10" hidden="1" x14ac:dyDescent="0.25">
      <c r="A48" s="352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336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338</v>
      </c>
      <c r="E1" s="171" t="s">
        <v>337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3" t="s">
        <v>324</v>
      </c>
      <c r="D2" s="353"/>
      <c r="E2" s="353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325</v>
      </c>
      <c r="G3" s="12" t="s">
        <v>321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4" t="s">
        <v>326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4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5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5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308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329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240738.79472010836</v>
      </c>
      <c r="J5" s="10">
        <f>SUMIFS('Resultat-Produktion &amp; forbrug'!$N$3:$N$1000,'Resultat-Produktion &amp; forbrug'!$A$3:$A$1000,Adfærd!$G5,'Resultat-Produktion &amp; forbrug'!$D$3:$D$1000,Adfærd!J$4)</f>
        <v>230377.75918826333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327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328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320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9" t="s">
        <v>332</v>
      </c>
      <c r="G2" s="360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0.85085506224669805</v>
      </c>
      <c r="AC3" s="126">
        <f>SUM(E12:E14)/SUM(E12:E15)</f>
        <v>0.84156678039128929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0.34031562314868813</v>
      </c>
      <c r="AC5" s="147">
        <f t="shared" si="0"/>
        <v>0.3303788017692923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0.39319844103504681</v>
      </c>
      <c r="AC6" s="147">
        <f t="shared" si="0"/>
        <v>0.39109334699095094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7" t="s">
        <v>211</v>
      </c>
      <c r="D10" s="357"/>
      <c r="E10" s="357"/>
      <c r="F10" s="356" t="s">
        <v>333</v>
      </c>
      <c r="G10" s="356"/>
      <c r="J10" s="358" t="s">
        <v>212</v>
      </c>
      <c r="K10" s="358"/>
      <c r="L10" s="358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7317872.3979037404</v>
      </c>
      <c r="E12" s="133">
        <f>SUMIFS('Resultater - Danmark'!J$3:J$504,'Resultater - Danmark'!$F$3:$F$504,$A12)*D3</f>
        <v>7005959.4247079371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6489434.013235392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6212831.9426655276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0.34031562314868813</v>
      </c>
      <c r="L12" s="134">
        <f t="shared" ref="L12:L28" si="3">E12/E$29</f>
        <v>0.3303788017692923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8455021.8174732141</v>
      </c>
      <c r="E13" s="136">
        <f>SUMIFS('Resultater - Danmark'!J$3:J$504,'Resultater - Danmark'!$F$3:$F$504,$A13)*D4</f>
        <v>8293462.2488436466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2670006.8897283841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2618988.0785822039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0.39319844103504681</v>
      </c>
      <c r="L13" s="137">
        <f t="shared" si="3"/>
        <v>0.39109334699095094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3617.1712242793346</v>
      </c>
      <c r="E14" s="136">
        <f>SUMIFS('Resultater - Danmark'!J$3:J$504,'Resultater - Danmark'!$F$3:$F$504,$A14)*D5</f>
        <v>3735.4520479403895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3617.1712242793342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3735.45204794039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1.6821554302842836E-4</v>
      </c>
      <c r="L14" s="137">
        <f t="shared" si="3"/>
        <v>1.7615205810539539E-4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2765437.8672976275</v>
      </c>
      <c r="E15" s="136">
        <f>SUMIFS('Resultater - Danmark'!J$3:J$504,'Resultater - Danmark'!$F$3:$F$504,$A15)*D6</f>
        <v>2880969.7698136591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4526444.2578007793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4715545.854665623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0.12860591985150802</v>
      </c>
      <c r="L15" s="137">
        <f t="shared" si="3"/>
        <v>0.1358573869451534</v>
      </c>
      <c r="M15" s="139" t="s">
        <v>298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1204392.371220411</v>
      </c>
      <c r="E16" s="136">
        <f>SUMIFS('Resultater - Danmark'!J$3:J$504,'Resultater - Danmark'!$F$3:$F$504,$A16)*D7</f>
        <v>1262014.3338818299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1204392.371220411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1262014.3338818299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5.6009932674531422E-2</v>
      </c>
      <c r="L16" s="137">
        <f t="shared" si="3"/>
        <v>5.9512588950075447E-2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0</v>
      </c>
      <c r="E17" s="136">
        <f>SUMIFS('Resultater - Danmark'!J$3:J$504,'Resultater - Danmark'!$F$3:$F$504,$A17)*D8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 t="e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2" t="e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1.6927486366596273E-2</v>
      </c>
      <c r="L18" s="137">
        <f t="shared" si="3"/>
        <v>1.7437509236921743E-2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-74189.67769150075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-73602.891942499205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3.3760940184851887E-2</v>
      </c>
      <c r="L19" s="137">
        <f t="shared" si="3"/>
        <v>3.4095893413030022E-2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2142228.3524030889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2039826.6812849413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3.531289577497277E-3</v>
      </c>
      <c r="L20" s="137">
        <f t="shared" si="3"/>
        <v>3.5808063411094139E-3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3743700.5343613452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3445654.0507503473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1.7606687834704731E-4</v>
      </c>
      <c r="L21" s="137">
        <f t="shared" si="3"/>
        <v>1.7853573902916006E-4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7576872.8456153981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7186166.448623132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3.9843850861436799E-3</v>
      </c>
      <c r="L22" s="137">
        <f t="shared" si="3"/>
        <v>4.0402552860014122E-3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2961150.4845719663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2759146.642854617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1.5347767457306561E-2</v>
      </c>
      <c r="L23" s="137">
        <f t="shared" si="3"/>
        <v>1.5562978290765341E-2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1992661.9607506467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1919162.7967223886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1.3321277681593159E-3</v>
      </c>
      <c r="L24" s="137">
        <f t="shared" si="3"/>
        <v>1.3508072489409114E-3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3.6273683336158717E-6</v>
      </c>
      <c r="L25" s="137">
        <f t="shared" si="3"/>
        <v>3.6782323413297636E-6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6.638177059961497E-3</v>
      </c>
      <c r="L26" s="137">
        <f t="shared" si="3"/>
        <v>6.7312594982832452E-3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21503192.625119273</v>
      </c>
      <c r="E29" s="145">
        <f>SUM(E12:E28)</f>
        <v>21205838.229295012</v>
      </c>
      <c r="F29" s="145"/>
      <c r="G29" s="145"/>
      <c r="H29" s="146"/>
      <c r="I29" s="146"/>
      <c r="J29" s="147">
        <f>SUM(J12:J28)</f>
        <v>1</v>
      </c>
      <c r="K29" s="147">
        <f>SUM(K12:K28)</f>
        <v>1</v>
      </c>
      <c r="L29" s="147">
        <f>SUM(L12:L28)</f>
        <v>1.0000000000000002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0.10536609436161316</v>
      </c>
      <c r="E30" s="149">
        <f>SUMPRODUCT(E12:E28,$H$12:$H$28)/E29</f>
        <v>0.10668972466527758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2.0840347189956605E-2</v>
      </c>
      <c r="E31" s="149">
        <f>SUM(E21:E24)/E29</f>
        <v>2.1132576564736823E-2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539354838.00291681</v>
      </c>
      <c r="E32" s="125">
        <f>SUMPRODUCT(E12:E28,$I$12:$I$28)</f>
        <v>538646145.97033834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19.362838684304716</v>
      </c>
      <c r="E33" s="125">
        <f>E32*[1]Energiindhold!$C$10</f>
        <v>19.33739664033515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6391729.2665735735</v>
      </c>
      <c r="E39" s="133">
        <f>SUMIFS('Resultater - Vestdanmark'!J$3:J$504,'Resultater - Vestdanmark'!$F$3:$F$504,$A39)*D3</f>
        <v>6119291.7094537346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926143.13133016659</v>
      </c>
      <c r="M39" s="133">
        <f>SUMIFS('Resultater - Østdanmark'!J$3:J$504,'Resultater - Østdanmark'!$F$3:$F$504,$A39)*D3</f>
        <v>886667.7152542026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7893966.0004921574</v>
      </c>
      <c r="E40" s="136">
        <f>SUMIFS('Resultater - Vestdanmark'!J$3:J$504,'Resultater - Vestdanmark'!$F$3:$F$504,$A40)*D4</f>
        <v>7743127.1535502924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561055.81698105508</v>
      </c>
      <c r="M40" s="136">
        <f>SUMIFS('Resultater - Østdanmark'!J$3:J$504,'Resultater - Østdanmark'!$F$3:$F$504,$A40)*D4</f>
        <v>550335.09529335448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3337.0904542181925</v>
      </c>
      <c r="E41" s="136">
        <f>SUMIFS('Resultater - Vestdanmark'!J$3:J$504,'Resultater - Vestdanmark'!$F$3:$F$504,$A41)*D5</f>
        <v>3446.2126889929687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280.08077006114183</v>
      </c>
      <c r="M41" s="136">
        <f>SUMIFS('Resultater - Østdanmark'!J$3:J$504,'Resultater - Østdanmark'!$F$3:$F$504,$A41)*D5</f>
        <v>289.23935894742124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1497865.6247316466</v>
      </c>
      <c r="E42" s="136">
        <f>SUMIFS('Resultater - Vestdanmark'!J$3:J$504,'Resultater - Vestdanmark'!$F$3:$F$504,$A42)*D6</f>
        <v>1554136.2730559006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1267572.2425659813</v>
      </c>
      <c r="M42" s="136">
        <f>SUMIFS('Resultater - Østdanmark'!J$3:J$504,'Resultater - Østdanmark'!$F$3:$F$504,$A42)*D6</f>
        <v>1326833.4967577588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1061170.3273835385</v>
      </c>
      <c r="E43" s="136">
        <f>SUMIFS('Resultater - Vestdanmark'!J$3:J$504,'Resultater - Vestdanmark'!$F$3:$F$504,$A43)*D7</f>
        <v>1111191.0910754299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143222.04383687259</v>
      </c>
      <c r="M43" s="136">
        <f>SUMIFS('Resultater - Østdanmark'!J$3:J$504,'Resultater - Østdanmark'!$F$3:$F$504,$A43)*D7</f>
        <v>150823.24280639994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0</v>
      </c>
      <c r="E44" s="136">
        <f>SUMIFS('Resultater - Vestdanmark'!J$3:J$504,'Resultater - Vestdanmark'!$F$3:$F$504,$A44)*D8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0</v>
      </c>
      <c r="M44" s="136">
        <f>SUMIFS('Resultater - Østdanmark'!J$3:J$504,'Resultater - Østdanmark'!$F$3:$F$504,$A44)*D8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 ca="1">SUMIFS('Resultater - Vestdanmark'!H$3:H$504,'Resultater - Vestdanmark'!$F$3:$F$504,$A45)/SUMIFS('Resultater - Danmark'!H$3:H$504,'Resultater - Danmark'!$F$3:$F$504,$A45)*C18</f>
        <v>#REF!</v>
      </c>
      <c r="D45" s="136" t="e">
        <f ca="1">SUMIFS('Resultater - Vestdanmark'!I$3:I$504,'Resultater - Vestdanmark'!$F$3:$F$504,$A45)/SUMIFS('Resultater - Danmark'!I$3:I$504,'Resultater - Danmark'!$F$3:$F$504,$A45)*D18</f>
        <v>#REF!</v>
      </c>
      <c r="E45" s="136" t="e">
        <f ca="1">SUMIFS('Resultater - Vestdanmark'!J$3:J$504,'Resultater - Vestdanmark'!$F$3:$F$504,$A45)/SUMIFS('Resultater - Danmark'!J$3:J$504,'Resultater - Danmark'!$F$3:$F$504,$A45)*E18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 ca="1">SUMIFS('Resultater - Østdanmark'!H$3:H$504,'Resultater - Østdanmark'!$F$3:$F$504,$A45)/SUMIFS('Resultater - Danmark'!H$3:H$504,'Resultater - Danmark'!$F$3:$F$504,$A45)*C18</f>
        <v>#REF!</v>
      </c>
      <c r="L45" s="136" t="e">
        <f ca="1">SUMIFS('Resultater - Østdanmark'!I$3:I$504,'Resultater - Østdanmark'!$F$3:$F$504,$A45)/SUMIFS('Resultater - Danmark'!I$3:I$504,'Resultater - Danmark'!$F$3:$F$504,$A45)*D18</f>
        <v>#REF!</v>
      </c>
      <c r="M45" s="136" t="e">
        <f ca="1">SUMIFS('Resultater - Østdanmark'!J$3:J$504,'Resultater - Østdanmark'!$F$3:$F$504,$A45)/SUMIFS('Resultater - Danmark'!J$3:J$504,'Resultater - Danmark'!$F$3:$F$504,$A45)*E18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508461.98144503916</v>
      </c>
      <c r="E46" s="136">
        <f>SUMIFS('Resultater - Vestdanmark'!J$3:J$504,'Resultater - Vestdanmark'!$F$3:$F$504,$A46)/SUMIFS('Resultater - Danmark'!J$3:J$504,'Resultater - Danmark'!$F$3:$F$504,$A46)*E19</f>
        <v>505095.54922592157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217506.01855496093</v>
      </c>
      <c r="M46" s="136">
        <f>SUMIFS('Resultater - Østdanmark'!J$3:J$504,'Resultater - Østdanmark'!$F$3:$F$504,$A46)/SUMIFS('Resultater - Danmark'!J$3:J$504,'Resultater - Danmark'!$F$3:$F$504,$A46)*E19</f>
        <v>217936.45077407858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53644.580306161413</v>
      </c>
      <c r="E47" s="136">
        <f>SUMIFS('Resultater - Vestdanmark'!J$3:J$504,'Resultater - Vestdanmark'!$F$3:$F$504,$A47)/SUMIFS('Resultater - Danmark'!J$3:J$504,'Resultater - Danmark'!$F$3:$F$504,$A47)*E20</f>
        <v>53363.755309158871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22289.419693838598</v>
      </c>
      <c r="M47" s="136">
        <f>SUMIFS('Resultater - Østdanmark'!J$3:J$504,'Resultater - Østdanmark'!$F$3:$F$504,$A47)/SUMIFS('Resultater - Danmark'!J$3:J$504,'Resultater - Danmark'!$F$3:$F$504,$A47)*E20</f>
        <v>22570.244690841144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2833.9333697705197</v>
      </c>
      <c r="E48" s="136">
        <f>SUMIFS('Resultater - Vestdanmark'!J$3:J$504,'Resultater - Vestdanmark'!$F$3:$F$504,$A48)/SUMIFS('Resultater - Danmark'!J$3:J$504,'Resultater - Danmark'!$F$3:$F$504,$A48)*E21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952.06663022948101</v>
      </c>
      <c r="M48" s="136">
        <f>SUMIFS('Resultater - Østdanmark'!J$3:J$504,'Resultater - Østdanmark'!$F$3:$F$504,$A48)/SUMIFS('Resultater - Danmark'!J$3:J$504,'Resultater - Danmark'!$F$3:$F$504,$A48)*E21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75614.059561949907</v>
      </c>
      <c r="E49" s="136">
        <f>SUMIFS('Resultater - Vestdanmark'!J$3:J$504,'Resultater - Vestdanmark'!$F$3:$F$504,$A49)/SUMIFS('Resultater - Danmark'!J$3:J$504,'Resultater - Danmark'!$F$3:$F$504,$A49)*E22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10062.940438050116</v>
      </c>
      <c r="M49" s="136">
        <f>SUMIFS('Resultater - Østdanmark'!J$3:J$504,'Resultater - Østdanmark'!$F$3:$F$504,$A49)/SUMIFS('Resultater - Danmark'!J$3:J$504,'Resultater - Danmark'!$F$3:$F$504,$A49)*E22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314692.31350359169</v>
      </c>
      <c r="E50" s="136">
        <f>SUMIFS('Resultater - Vestdanmark'!J$3:J$504,'Resultater - Vestdanmark'!$F$3:$F$504,$A50)/SUMIFS('Resultater - Danmark'!J$3:J$504,'Resultater - Danmark'!$F$3:$F$504,$A50)*E23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15333.686496408332</v>
      </c>
      <c r="M50" s="136">
        <f>SUMIFS('Resultater - Østdanmark'!J$3:J$504,'Resultater - Østdanmark'!$F$3:$F$504,$A50)/SUMIFS('Resultater - Danmark'!J$3:J$504,'Resultater - Danmark'!$F$3:$F$504,$A50)*E23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4075.7207832735812</v>
      </c>
      <c r="E51" s="136">
        <f>SUMIFS('Resultater - Vestdanmark'!J$3:J$504,'Resultater - Vestdanmark'!$F$3:$F$504,$A51)/SUMIFS('Resultater - Danmark'!J$3:J$504,'Resultater - Danmark'!$F$3:$F$504,$A51)*E24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24569.279216726416</v>
      </c>
      <c r="M51" s="136">
        <f>SUMIFS('Resultater - Østdanmark'!J$3:J$504,'Resultater - Østdanmark'!$F$3:$F$504,$A51)/SUMIFS('Resultater - Danmark'!J$3:J$504,'Resultater - Danmark'!$F$3:$F$504,$A51)*E24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41.80391161429587</v>
      </c>
      <c r="E52" s="136">
        <f>SUMIFS('Resultater - Vestdanmark'!J$3:J$504,'Resultater - Vestdanmark'!$F$3:$F$504,$A52)/SUMIFS('Resultater - Danmark'!J$3:J$504,'Resultater - Danmark'!$F$3:$F$504,$A52)*E25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36.19608838570413</v>
      </c>
      <c r="M52" s="136">
        <f>SUMIFS('Resultater - Østdanmark'!J$3:J$504,'Resultater - Østdanmark'!$F$3:$F$504,$A52)/SUMIFS('Resultater - Danmark'!J$3:J$504,'Resultater - Danmark'!$F$3:$F$504,$A52)*E25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 ca="1">SUM(C39:C55)</f>
        <v>#REF!</v>
      </c>
      <c r="D56" s="145" t="e">
        <f ca="1">SUM(D39:D55)</f>
        <v>#REF!</v>
      </c>
      <c r="E56" s="145" t="e">
        <f ca="1">SUM(E39:E55)</f>
        <v>#REF!</v>
      </c>
      <c r="F56" s="146"/>
      <c r="G56" s="146"/>
      <c r="I56" s="125" t="s">
        <v>105</v>
      </c>
      <c r="J56" s="125" t="s">
        <v>140</v>
      </c>
      <c r="K56" s="145" t="e">
        <f ca="1">SUM(K39:K55)</f>
        <v>#REF!</v>
      </c>
      <c r="L56" s="145" t="e">
        <f ca="1">SUM(L39:L55)</f>
        <v>#REF!</v>
      </c>
      <c r="M56" s="145" t="e">
        <f ca="1"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 ca="1">SUMPRODUCT(C39:C55,$F$39:$F$55)/C56</f>
        <v>#REF!</v>
      </c>
      <c r="D57" s="149" t="e">
        <f ca="1">SUMPRODUCT(D39:D55,$F$39:$F$55)/D56</f>
        <v>#REF!</v>
      </c>
      <c r="E57" s="149" t="e">
        <f ca="1">SUMPRODUCT(E39:E55,$F$39:$F$55)/E56</f>
        <v>#REF!</v>
      </c>
      <c r="I57" s="148" t="s">
        <v>124</v>
      </c>
      <c r="K57" s="149" t="e">
        <f ca="1">SUMPRODUCT(K39:K55,$N$39:$N$55)/K56</f>
        <v>#REF!</v>
      </c>
      <c r="L57" s="149" t="e">
        <f ca="1">SUMPRODUCT(L39:L55,$N$39:$N$55)/L56</f>
        <v>#REF!</v>
      </c>
      <c r="M57" s="149" t="e">
        <f ca="1">SUMPRODUCT(M39:M55,$N$39:$N$55)/M56</f>
        <v>#REF!</v>
      </c>
    </row>
    <row r="58" spans="1:15" hidden="1" x14ac:dyDescent="0.2">
      <c r="A58" s="148" t="s">
        <v>161</v>
      </c>
      <c r="C58" s="149" t="e">
        <f ca="1">SUM(C48:C51)/C56</f>
        <v>#REF!</v>
      </c>
      <c r="D58" s="149" t="e">
        <f ca="1">SUM(D48:D51)/D56</f>
        <v>#REF!</v>
      </c>
      <c r="E58" s="149" t="e">
        <f ca="1">SUM(E48:E51)/E56</f>
        <v>#REF!</v>
      </c>
      <c r="I58" s="148" t="s">
        <v>161</v>
      </c>
      <c r="K58" s="149" t="e">
        <f ca="1">SUM(K48:K51)/K56</f>
        <v>#REF!</v>
      </c>
      <c r="L58" s="149" t="e">
        <f ca="1">SUM(L48:L51)/L56</f>
        <v>#REF!</v>
      </c>
      <c r="M58" s="149" t="e">
        <f ca="1"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 ca="1">SUMPRODUCT(C39:C55,$I$12:$I$28)</f>
        <v>#REF!</v>
      </c>
      <c r="D59" s="125" t="e">
        <f ca="1">SUMPRODUCT(D39:D55,$I$12:$I$28)</f>
        <v>#REF!</v>
      </c>
      <c r="E59" s="125" t="e">
        <f ca="1">SUMPRODUCT(E39:E55,$I$12:$I$28)</f>
        <v>#REF!</v>
      </c>
      <c r="I59" s="125" t="s">
        <v>143</v>
      </c>
      <c r="J59" s="125" t="s">
        <v>144</v>
      </c>
      <c r="K59" s="125" t="e">
        <f ca="1">SUMPRODUCT(K39:K55,$I$12:$I$28)</f>
        <v>#REF!</v>
      </c>
      <c r="L59" s="125" t="e">
        <f ca="1">SUMPRODUCT(L39:L55,$I$12:$I$28)</f>
        <v>#REF!</v>
      </c>
      <c r="M59" s="125" t="e">
        <f ca="1"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 ca="1">C59*[1]Energiindhold!$C$10</f>
        <v>#REF!</v>
      </c>
      <c r="D60" s="125" t="e">
        <f ca="1">D59*[1]Energiindhold!$C$10</f>
        <v>#REF!</v>
      </c>
      <c r="E60" s="125" t="e">
        <f ca="1">E59*[1]Energiindhold!$C$10</f>
        <v>#REF!</v>
      </c>
      <c r="I60" s="125" t="s">
        <v>143</v>
      </c>
      <c r="J60" s="125" t="s">
        <v>123</v>
      </c>
      <c r="K60" s="125" t="e">
        <f ca="1">K59*[1]Energiindhold!$C$10</f>
        <v>#REF!</v>
      </c>
      <c r="L60" s="125" t="e">
        <f ca="1">L59*[1]Energiindhold!$C$10</f>
        <v>#REF!</v>
      </c>
      <c r="M60" s="125" t="e">
        <f ca="1"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315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334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 t="e">
        <f ca="1">SUMIFS('Forbrug af biomasse'!$E$2:$E$403,'Forbrug af biomasse'!$D$2:$D$403,'Forbrug til andet'!B$15,'Forbrug af biomasse'!$C$2:$C$403,'Forbrug til andet'!$A20,'Forbrug af biomasse'!$A$2:$A$403,"Materialer")</f>
        <v>#REF!</v>
      </c>
      <c r="C20" s="109" t="e">
        <f ca="1">SUMIFS('Forbrug af biomasse'!$E$2:$E$403,'Forbrug af biomasse'!$D$2:$D$403,'Forbrug til andet'!C$15,'Forbrug af biomasse'!$C$2:$C$403,'Forbrug til andet'!$A20,'Forbrug af biomasse'!$A$2:$A$403,"Materialer")</f>
        <v>#REF!</v>
      </c>
      <c r="D20" s="109" t="e">
        <f ca="1"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8065001.0864567999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7721242.9104568008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1168595.3908364461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1118785.8228364463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528953.31354319979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872711.48954319966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76643.809163553771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126453.37716355374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922303.28256640851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877744.4345664084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65551.792555521955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62384.816555521953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191667.91743359147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236226.76543359147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13622.607444478052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16789.583444478048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14232454.554315863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13551675.866315866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1194524.6573685941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1137387.1533685941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2787012.6456841351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3467791.3336841348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233912.94263140604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291050.44663140603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316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 ca="1"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6391729.2665735735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7893966.0004921574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3337.0904542181925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1497865.6247316466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 ca="1"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508461.98144503916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1061170.3273835385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53644.580306161413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6119291.7094537346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7743127.1535502924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3446.2126889929687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1554136.2730559006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 ca="1"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505095.54922592157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1111191.0910754299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53363.755309158871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 ca="1"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926143.13133016659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561055.81698105508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280.08077006114183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1267572.2425659813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 ca="1"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217506.01855496093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143222.04383687259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22289.419693838598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886667.7152542026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550335.09529335448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289.23935894742124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1326833.4967577588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 ca="1"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217936.45077407858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150823.24280639994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22570.244690841144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4703372.1615964994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618468.71483434096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51598.780380153592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672934.09412450308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4525643.0291759707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171279.2848730098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9790151.9274066389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1212571.3389336092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31532.588010093863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3862742.0312364982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4703372.1615964994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618468.71483434096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51598.780380153592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672934.09412450308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4525643.0291759707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171279.2848730098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9790151.9274066389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1212571.3389336092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31532.588010093863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3862742.0312364982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577297.28616440261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75911.558427530035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6333.2934029920762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82596.701464021666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555482.60888742993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21023.015601598698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1201654.4608093714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148832.39497031379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3870.3459684951581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474117.38114065683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577297.28616440273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75911.55842753005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6333.293402992078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82596.70146402168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555482.60888743005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21023.015601598701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1201654.4608093717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148832.39497031382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3870.345968495159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474117.381140657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 t="e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 t="e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 t="e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 t="e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1385491.0293729189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 t="e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 t="e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756737.32303016982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 t="e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 t="e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1303036.156330572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 t="e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 t="e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736790.52495436871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 t="e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 t="e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 t="e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 t="e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5668137.2741312822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2492831.3685764708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3337.0904542181925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401728.76679519669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 t="e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 t="e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5426541.7046099147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2445198.048489566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3446.2126889929687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420665.19876426988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 t="e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 t="e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 t="e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 t="e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821296.73910410993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177175.52115191214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280.08077006114183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54219.773738244621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 t="e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 t="e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786290.23805561347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173790.03009263825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289.23935894742124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57097.370490994261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 t="e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 t="e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#REF!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71">
        <v>1</v>
      </c>
    </row>
    <row r="398" spans="1:7" x14ac:dyDescent="0.25">
      <c r="A398" t="s">
        <v>317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317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71">
        <v>1</v>
      </c>
    </row>
    <row r="400" spans="1:7" x14ac:dyDescent="0.25">
      <c r="A400" s="171" t="s">
        <v>317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71">
        <v>1</v>
      </c>
    </row>
    <row r="401" spans="1:7" x14ac:dyDescent="0.25">
      <c r="A401" s="171" t="s">
        <v>317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317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71">
        <v>1</v>
      </c>
    </row>
    <row r="403" spans="1:7" x14ac:dyDescent="0.25">
      <c r="A403" s="171" t="s">
        <v>317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313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314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313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314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313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314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313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314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313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314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313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314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 t="e">
        <f ca="1">SUMIFS('Forbrug af biomasse'!E:E,'Forbrug af biomasse'!F:F,"",'Forbrug af biomasse'!B:B,Restprodukter!$B7,'Forbrug af biomasse'!C:C,Restprodukter!$A7,'Forbrug af biomasse'!D:D,Restprodukter!$C7)</f>
        <v>#REF!</v>
      </c>
      <c r="E7" t="e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#REF!</v>
      </c>
      <c r="F7" t="e">
        <f t="shared" ca="1" si="2"/>
        <v>#REF!</v>
      </c>
      <c r="G7" t="e">
        <f t="shared" ca="1" si="3"/>
        <v>#REF!</v>
      </c>
      <c r="H7" t="e">
        <f t="shared" ca="1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 ca="1">SUMIFS('Forbrug af biomasse'!E:E,'Forbrug af biomasse'!F:F,"",'Forbrug af biomasse'!B:B,Restprodukter!$B13,'Forbrug af biomasse'!C:C,Restprodukter!$A13,'Forbrug af biomasse'!D:D,Restprodukter!$C13)</f>
        <v>#REF!</v>
      </c>
      <c r="E13" t="e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#REF!</v>
      </c>
      <c r="F13" t="e">
        <f ca="1">E13-D13</f>
        <v>#REF!</v>
      </c>
      <c r="G13" t="e">
        <f t="shared" ca="1" si="3"/>
        <v>#REF!</v>
      </c>
      <c r="H13" t="e">
        <f t="shared" ca="1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672113.29514050239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2057604.3245134212</v>
      </c>
      <c r="F14">
        <f>E14-D14</f>
        <v>1385491.0293729189</v>
      </c>
      <c r="G14">
        <f t="shared" si="3"/>
        <v>1385491.0293729189</v>
      </c>
      <c r="H14">
        <f t="shared" si="1"/>
        <v>756737.32303016982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 ca="1">SUMIFS('Forbrug af biomasse'!E:E,'Forbrug af biomasse'!F:F,"",'Forbrug af biomasse'!B:B,Restprodukter!$B19,'Forbrug af biomasse'!C:C,Restprodukter!$A19,'Forbrug af biomasse'!D:D,Restprodukter!$C19)</f>
        <v>#REF!</v>
      </c>
      <c r="E19" t="e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#REF!</v>
      </c>
      <c r="F19" t="e">
        <f t="shared" ca="1" si="2"/>
        <v>#REF!</v>
      </c>
      <c r="G19" t="e">
        <f t="shared" ca="1" si="3"/>
        <v>#REF!</v>
      </c>
      <c r="H19" t="e">
        <f t="shared" ca="1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98200.978121368636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854938.3011515385</v>
      </c>
      <c r="F20">
        <f t="shared" si="2"/>
        <v>756737.32303016982</v>
      </c>
      <c r="G20">
        <f t="shared" si="3"/>
        <v>756737.32303016982</v>
      </c>
      <c r="H20">
        <f t="shared" si="1"/>
        <v>1385491.0293729189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 ca="1">SUMIFS('Forbrug af biomasse'!E:E,'Forbrug af biomasse'!F:F,"",'Forbrug af biomasse'!B:B,Restprodukter!$B25,'Forbrug af biomasse'!C:C,Restprodukter!$A25,'Forbrug af biomasse'!D:D,Restprodukter!$C25)</f>
        <v>#REF!</v>
      </c>
      <c r="E25" t="e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#REF!</v>
      </c>
      <c r="F25" t="e">
        <f t="shared" ca="1" si="2"/>
        <v>#REF!</v>
      </c>
      <c r="G25" t="e">
        <f t="shared" ca="1" si="3"/>
        <v>#REF!</v>
      </c>
      <c r="H25" t="e">
        <f t="shared" ca="1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671832.47014349978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1974868.6264740718</v>
      </c>
      <c r="F26">
        <f t="shared" si="2"/>
        <v>1303036.156330572</v>
      </c>
      <c r="G26">
        <f t="shared" si="3"/>
        <v>1303036.156330572</v>
      </c>
      <c r="H26">
        <f t="shared" si="1"/>
        <v>736790.52495436871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 ca="1">SUMIFS('Forbrug af biomasse'!E:E,'Forbrug af biomasse'!F:F,"",'Forbrug af biomasse'!B:B,Restprodukter!$B31,'Forbrug af biomasse'!C:C,Restprodukter!$A31,'Forbrug af biomasse'!D:D,Restprodukter!$C31)</f>
        <v>#REF!</v>
      </c>
      <c r="E31" t="e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#REF!</v>
      </c>
      <c r="F31" t="e">
        <f t="shared" ca="1" si="2"/>
        <v>#REF!</v>
      </c>
      <c r="G31" t="e">
        <f t="shared" ca="1" si="3"/>
        <v>#REF!</v>
      </c>
      <c r="H31" t="e">
        <f t="shared" ca="1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98481.803118371201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835272.32807273988</v>
      </c>
      <c r="F32">
        <f t="shared" si="2"/>
        <v>736790.52495436871</v>
      </c>
      <c r="G32">
        <f t="shared" si="3"/>
        <v>736790.52495436871</v>
      </c>
      <c r="H32">
        <f t="shared" si="1"/>
        <v>1303036.156330572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 ca="1">SUMIFS('Forbrug af biomasse'!E:E,'Forbrug af biomasse'!F:F,"",'Forbrug af biomasse'!B:B,Restprodukter!$B37,'Forbrug af biomasse'!C:C,Restprodukter!$A37,'Forbrug af biomasse'!D:D,Restprodukter!$C37)</f>
        <v>#REF!</v>
      </c>
      <c r="E37" t="e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#REF!</v>
      </c>
      <c r="F37" t="e">
        <f t="shared" ca="1" si="2"/>
        <v>#REF!</v>
      </c>
      <c r="G37" t="e">
        <f t="shared" ca="1" si="3"/>
        <v>#REF!</v>
      </c>
      <c r="H37" t="e">
        <f t="shared" ca="1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395099.15710561507</v>
      </c>
      <c r="O3" s="171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301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2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11179450.521719089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10702943.763836339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12059866.540704856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11545833.414063649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1545987.8753404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1480092.5373921432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126364.07464315755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120978.00174055072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-6899366479.4311991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-6605291672.6084795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-529870.57138021174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-507285.65921701177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903477.64426614856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864968.30946007557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250001.99508437468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412474.2353108211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270982.38903804816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447089.44687999511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8287.7479220134319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13673.82082462027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-452503691.13680112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-746578497.95952106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-30547.05385711979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-50399.088521119782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65181.298474246374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107541.56676092674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320710.24991141836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305215.91139179375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9306493.1916532889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8856872.5263272319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182381.20793873124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173569.90185730331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3483702.3515116847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3315395.7147551631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39686.364587318778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37769.014057677145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-2414589993.7588573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-2297934929.6948571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-10099.220944102173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-9611.3015585021712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2611702.7463139286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2485524.6572905863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19991.394030461786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24638.981899308401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1080304.1774153388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1331452.6757126269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8919.2373366675656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10992.77653969144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412642.87678260863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508573.85715239123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8247.3986537220499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10164.749183363683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-501786607.84114248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-618441671.90514243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-2530.0165101234074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-3118.1933037234076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453873.49996140599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559389.75206455449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75949470.02073957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72316591.351941347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4834.1004940422599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4602.8717499465147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107141.30412896334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102016.43152338694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158277.5242695417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150706.6611481533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6684.6952383134503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6364.9472962665268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-263015760.16375715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-250434970.00951719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-6233.8150947903478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-5935.6340294463489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10156.003135680934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9670.2126865601167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1041493.740480428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1295897.5887379702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1840.0804143941255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2289.5536280394222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6928.640984266608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8621.0879583398764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12756.03561276813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15871.930046182108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1309.0033128596663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1628.7512549065907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-51503993.692242816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-64084783.846482813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-2299.2854326894117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-2860.9278502894113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2187.6339015735002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2722.0033956064012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-468707.41035023518</v>
      </c>
      <c r="I425" s="342">
        <f t="shared" ref="I425:J425" si="0">SUMIFS(I3:I424,$F$3:$F$424,$D$425)*I423/SUM(I423:I424)</f>
        <v>-443563.40437744389</v>
      </c>
      <c r="J425" s="343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2502141.5052936058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2455663.5565474145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97408.630707357341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95599.239297688866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12799.494074946755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12561.740043716316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1296795.0922933305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1272706.7760624508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1102410.4206254377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1072120.6999068451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21120.452678686721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20540.149189969037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98317.201590938494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95615.847791748558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97009.626395618849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94344.199404397878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84934.510833187902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82230.492590145455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41193.926040245511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39882.455279742353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5437.460580082532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5264.3508222216306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55888.835329455884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54109.529970176744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145303.11165081069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138927.00099994309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535.94813157761189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512.42995257070322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4232533290.6275983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4232533290.6275983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117530555.31034985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117530555.31034985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55898678.745166384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55898678.745166384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102480911.03280504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102480911.03280504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1198954994.1110687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1198954994.1110687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172712584.32801408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172712584.32801408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1628228180.8848464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1628228180.8848464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116813905.5828477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116813905.5828477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86714617.027758121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86714617.027758121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2870898808.3735456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2870898808.3735456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8615319.5971695222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8570219.1026509143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76700751.198882878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73431500.513444811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-81351.373701752236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-77883.897437456471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111304920.60693942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109178092.86505912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-232290.64387442611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-227852.00645500762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43715.884950258318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45145.386225807888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63670219.643012308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66671465.464525796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52165656.986353792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51820277.872833423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20820332.183769889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21602494.19547702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 ca="1">SUMIFS('Forbrug af biomasse'!$E$1:$E$425,'Forbrug af biomasse'!$A$1:$A$425,"Biogas",'Forbrug af biomasse'!$B$1:$B$425,$A$1,'Forbrug af biomasse'!$D$1:$D$425,H$2)*'[1]Processer - data'!H474</f>
        <v>#REF!</v>
      </c>
      <c r="I474" s="285" t="e">
        <f ca="1">SUMIFS('Forbrug af biomasse'!$E$1:$E$425,'Forbrug af biomasse'!$A$1:$A$425,"Biogas",'Forbrug af biomasse'!$B$1:$B$425,$A$1,'Forbrug af biomasse'!$D$1:$D$425,I$2)*'[1]Processer - data'!I474</f>
        <v>#REF!</v>
      </c>
      <c r="J474" s="286" t="e">
        <f ca="1">SUMIFS('Forbrug af biomasse'!$E$1:$E$425,'Forbrug af biomasse'!$A$1:$A$425,"Biogas",'Forbrug af biomasse'!$B$1:$B$425,$A$1,'Forbrug af biomasse'!$D$1:$D$425,J$2)*'[1]Processer - data'!J474</f>
        <v>#REF!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30041127.552895796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28760671.034432545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19942650.948611766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19561584.387916528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23359.633179527347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24123.488822950781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5624202.7351327538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5889312.7826997787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 ca="1">H474*'[1]Processer - data'!H$479*Biogasanlæg!AA$3</f>
        <v>#REF!</v>
      </c>
      <c r="I479" s="285" t="e">
        <f ca="1">I474*'[1]Processer - data'!I$479*Biogasanlæg!AB$3</f>
        <v>#REF!</v>
      </c>
      <c r="J479" s="286" t="e">
        <f ca="1">J474*'[1]Processer - data'!J$479*Biogasanlæg!AC$3</f>
        <v>#REF!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 ca="1">-SUMIFS('Resultater - Vestdanmark'!H$3:H$504,'Resultater - Vestdanmark'!$F$3:$F$504,"Gødning",'Resultater - Vestdanmark'!$A$3:$A$504,"&lt;&gt;Gødning")-SUM(H475:H479)</f>
        <v>#REF!</v>
      </c>
      <c r="I480" s="285" t="e">
        <f ca="1">-SUMIFS('Resultater - Vestdanmark'!I$3:I$504,'Resultater - Vestdanmark'!$F$3:$F$504,"Gødning",'Resultater - Vestdanmark'!$A$3:$A$504,"&lt;&gt;Gødning")-SUM(I475:I479)</f>
        <v>#REF!</v>
      </c>
      <c r="J480" s="286" t="e">
        <f ca="1">-SUMIFS('Resultater - Vestdanmark'!J$3:J$504,'Resultater - Vestdanmark'!$F$3:$F$504,"Gødning",'Resultater - Vestdanmark'!$A$3:$A$504,"&lt;&gt;Gødning")-SUM(J475:J479)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14.320166964206413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13.467929364722803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 ca="1"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 ca="1"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 ca="1"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 ca="1">SUM(H455:H473)*'[1]Processer - data'!$H$489</f>
        <v>#REF!</v>
      </c>
      <c r="I489" s="285" t="e">
        <f ca="1">SUM(I455:I473)*'[1]Processer - data'!$H$489</f>
        <v>#REF!</v>
      </c>
      <c r="J489" s="286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2381738.5992335565</v>
      </c>
      <c r="O3" s="171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1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2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 ca="1">SUMIF($F$3:$F$494,"Bioaffald",H3:H494)</f>
        <v>#REF!</v>
      </c>
      <c r="N4" s="171" t="e">
        <f ca="1">SUMIF($F$3:$F$494,"Bioaffald",I3:I494)</f>
        <v>#REF!</v>
      </c>
      <c r="O4" s="171" t="e">
        <f ca="1">SUMIF($F$3:$F$494,"Bioaffald",J3:J494)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1619870.1291811671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1550825.6746305928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1747439.8704342765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1672957.9533098161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224009.18314141617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214461.13877310805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18309.789870119137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17529.363444725979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-999698298.99885452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-957087707.86189473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-76776.717177954502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-73504.228560354517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130911.30422612706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125331.41270768401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36224.567861015261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59766.326756290277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39264.566418903487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64781.971051799803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1200.8707647098604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1981.2971901030198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-65566479.42514535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-108177070.56210533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-4426.1799791952308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-7302.6825311952289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9444.5821084449508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15582.462778732337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22794.163449276428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21692.918681289459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661449.78842651786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629493.44484708668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12962.563762711534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12336.308907816358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247600.69511628913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235638.46756389324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2820.6690661142875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2684.3952757559205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-171614592.91035649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-163323449.74235648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-717.79212848296538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-683.11374128296541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185624.18661968777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176656.20388227972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1420.8685354930128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1751.1912412893646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76781.549706449339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94631.680538906046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633.92596198919023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781.30070765217795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29328.183873637823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36146.383313793289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586.17569284488786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722.44948320325477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-35663986.289643541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-43955129.457643531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-179.81841826711027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-221.62250146711023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32258.609590036394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39758.072727427665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6374410.9849512335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6069504.8192194803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405.72427013864109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386.31732699607659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8992.3301083624119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8562.2014422302946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13284.174189749368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12648.754442470523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561.0440039478965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534.20767719482114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-22074815.668171618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-21018914.594251622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-523.2017999274442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-498.17557317544419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852.38959447123887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811.61738138779606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87412.185210291747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108764.20629093802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154.43726998364264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192.16139089876592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581.51828036235077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723.56473019319401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1070.6093605689982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1332.1252302502314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109.86416487898698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136.70049163206232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-4322711.179828384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-5378612.2537483834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-192.97817767090999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-240.11661847090997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183.60730587631363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228.45674026810067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-137192.91374803972</v>
      </c>
      <c r="I425" s="342">
        <f t="shared" ref="I425:J425" si="0">SUMIFS(I3:I424,$F$3:$F$424,$D$425)*I423/SUM(I423:I424)</f>
        <v>-129833.14224340807</v>
      </c>
      <c r="J425" s="343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177837.22990030446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174533.85571503793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6923.221974748174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6794.6212719421637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909.71136748191009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892.81323513320024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92168.427114874314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90456.37389070644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159736.08962264023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155347.1964728414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3060.2926630894976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2976.2083616824511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14245.87887682287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13854.46050441212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14056.415003223578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13670.202321642862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6036.6362564051497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5844.4508372651044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2927.8175036130328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2834.6060179118035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386.46212662561334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374.15852199671258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3972.2436306328855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3845.7812640674751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12195.236527675561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11660.091914249606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44.981928858219973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43.008056775021096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519505983.86209995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519505983.86210006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14425834.973481953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14425834.973481957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6861067.8532414157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6861067.8532414176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12578624.397609264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12578624.397609266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147161109.21119085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147161109.21119091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21198940.418348476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21198940.41834848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199850591.82774997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199850591.82775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14337872.565107062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14337872.565107064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10643451.413361685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10643451.413361687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352377407.94980913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352377407.94980925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3579680.8028304786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3624781.2973490874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11113717.575962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10640012.583050432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-11787.579360122158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-11285.152052691872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7910887.0194328763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7759724.8436362976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-16509.827502157474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-16194.355742654174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3669.0580878009578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3789.0356022112182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8593322.6302123554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9049394.5683839954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 t="e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#REF!</v>
      </c>
      <c r="I466" s="279" t="e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#REF!</v>
      </c>
      <c r="J466" s="280" t="e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#REF!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22315029.973646216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22359190.167166591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17619254.17166714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18442985.604932848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 t="e">
        <f ca="1">SUMIFS('Forbrug af biomasse'!$E$1:$E$425,'Forbrug af biomasse'!$A$1:$A$425,"Biogas",'Forbrug af biomasse'!$B$1:$B$425,$A$1,'Forbrug af biomasse'!$D$1:$D$425,H$2)*'[1]Processer - data'!H474</f>
        <v>#REF!</v>
      </c>
      <c r="I474" s="285" t="e">
        <f ca="1">SUMIFS('Forbrug af biomasse'!$E$1:$E$425,'Forbrug af biomasse'!$A$1:$A$425,"Biogas",'Forbrug af biomasse'!$B$1:$B$425,$A$1,'Forbrug af biomasse'!$D$1:$D$425,I$2)*'[1]Processer - data'!I474</f>
        <v>#REF!</v>
      </c>
      <c r="J474" s="286" t="e">
        <f ca="1">SUMIFS('Forbrug af biomasse'!$E$1:$E$425,'Forbrug af biomasse'!$A$1:$A$425,"Biogas",'Forbrug af biomasse'!$B$1:$B$425,$A$1,'Forbrug af biomasse'!$D$1:$D$425,J$2)*'[1]Processer - data'!J474</f>
        <v>#REF!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4352872.7172517823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4167338.2616947512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1417404.1692152971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1390320.240741106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1960.565390427993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2024.6755126319485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759076.83233542473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799363.18687391968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 t="e">
        <f ca="1">H474*'[1]Processer - data'!H$479*Biogasanlæg!AA$3</f>
        <v>#REF!</v>
      </c>
      <c r="I479" s="285" t="e">
        <f ca="1">I474*'[1]Processer - data'!I$479*Biogasanlæg!AB$3</f>
        <v>#REF!</v>
      </c>
      <c r="J479" s="286" t="e">
        <f ca="1">J474*'[1]Processer - data'!J$479*Biogasanlæg!AC$3</f>
        <v>#REF!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 t="e">
        <f ca="1">-SUMIFS('Resultater - Østdanmark'!H$3:H$504,'Resultater - Østdanmark'!$F$3:$F$504,"Gødning",'Resultater - Østdanmark'!$A$3:$A$504,"&lt;&gt;Gødning")-SUM(H475:H479)</f>
        <v>#REF!</v>
      </c>
      <c r="I480" s="285" t="e">
        <f ca="1">-SUMIFS('Resultater - Østdanmark'!I$3:I$504,'Resultater - Østdanmark'!$F$3:$F$504,"Gødning",'Resultater - Østdanmark'!$A$3:$A$504,"&lt;&gt;Gødning")-SUM(I475:I479)</f>
        <v>#REF!</v>
      </c>
      <c r="J480" s="286" t="e">
        <f ca="1">-SUMIFS('Resultater - Østdanmark'!J$3:J$504,'Resultater - Østdanmark'!$F$3:$F$504,"Gødning",'Resultater - Østdanmark'!$A$3:$A$504,"&lt;&gt;Gødning")-SUM(J475:J479)</f>
        <v>#REF!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7.8214904204347988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7.6153241784375005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 t="e">
        <f ca="1">SUMIFS('Forbrug af biomasse'!$E$1:$E$425,'Forbrug af biomasse'!$A$1:$A$425,$F486,'Forbrug af biomasse'!$C$1:$C$425,$D486,'Forbrug af biomasse'!$B$1:$B$425,$A$1,'Forbrug af biomasse'!$D$1:$D$425,H$2)*'[1]Processer - data'!H486</f>
        <v>#REF!</v>
      </c>
      <c r="I486" s="289" t="e">
        <f ca="1">SUMIFS('Forbrug af biomasse'!$E$1:$E$425,'Forbrug af biomasse'!$A$1:$A$425,$F486,'Forbrug af biomasse'!$C$1:$C$425,$D486,'Forbrug af biomasse'!$B$1:$B$425,$A$1,'Forbrug af biomasse'!$D$1:$D$425,I$2)*'[1]Processer - data'!I486</f>
        <v>#REF!</v>
      </c>
      <c r="J486" s="290" t="e">
        <f ca="1">SUMIFS('Forbrug af biomasse'!$E$1:$E$425,'Forbrug af biomasse'!$A$1:$A$425,$F486,'Forbrug af biomasse'!$C$1:$C$425,$D486,'Forbrug af biomasse'!$B$1:$B$425,$A$1,'Forbrug af biomasse'!$D$1:$D$425,J$2)*'[1]Processer - data'!J486</f>
        <v>#REF!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 t="e">
        <f ca="1">SUM(H455:H473)*'[1]Processer - data'!$H$489</f>
        <v>#REF!</v>
      </c>
      <c r="I489" s="285" t="e">
        <f ca="1">SUM(I455:I473)*'[1]Processer - data'!$H$489</f>
        <v>#REF!</v>
      </c>
      <c r="J489" s="286" t="e">
        <f ca="1">SUM(J455:J473)*'[1]Processer - data'!$H$489</f>
        <v>#REF!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12089246.676465895</v>
      </c>
      <c r="O3" s="98">
        <f>SUMIF($F$3:$F$509,$L$3,J$3:J$509)</f>
        <v>11129878.783220479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 t="e">
        <f ca="1">'Resultater - Vestdanmark'!H4+'Resultater - Østdanmark'!H4</f>
        <v>#REF!</v>
      </c>
      <c r="I4" s="279" t="e">
        <f ca="1">'Resultater - Vestdanmark'!I4+'Resultater - Østdanmark'!I4</f>
        <v>#REF!</v>
      </c>
      <c r="J4" s="280" t="e">
        <f ca="1">'Resultater - Vestdanmark'!J4+'Resultater - Østdanmark'!J4</f>
        <v>#REF!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1109014.829074967</v>
      </c>
      <c r="O4" s="98">
        <f t="shared" si="0"/>
        <v>1113423.7517074186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3283459.0424850588</v>
      </c>
      <c r="O5" s="98">
        <f t="shared" si="0"/>
        <v>3261328.6859648484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13379.633937601986</v>
      </c>
      <c r="O6" s="98">
        <f t="shared" si="0"/>
        <v>13432.290203822415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-115834.65400706597</v>
      </c>
      <c r="J17" s="280">
        <f>'Resultater - Vestdanmark'!J17+'Resultater - Østdanmark'!J17</f>
        <v>-109355.0725051997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-25902.249999999833</v>
      </c>
      <c r="J21" s="280">
        <f>'Resultater - Vestdanmark'!J21+'Resultater - Østdanmark'!J21</f>
        <v>-247486.31971358578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-648674.0624395695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-68062.545718084672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0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12799320.650900256</v>
      </c>
      <c r="J95" s="280">
        <f>'Resultater - Vestdanmark'!J95+'Resultater - Østdanmark'!J95</f>
        <v>12253769.438466933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13807306.411139132</v>
      </c>
      <c r="J96" s="280">
        <f>'Resultater - Vestdanmark'!J96+'Resultater - Østdanmark'!J96</f>
        <v>13218791.367373465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1769997.0584818162</v>
      </c>
      <c r="J97" s="280">
        <f>'Resultater - Vestdanmark'!J97+'Resultater - Østdanmark'!J97</f>
        <v>1694553.6761652513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144673.8645132767</v>
      </c>
      <c r="J98" s="280">
        <f>'Resultater - Vestdanmark'!J98+'Resultater - Østdanmark'!J98</f>
        <v>138507.36518527669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-7899064778.4300537</v>
      </c>
      <c r="J99" s="280">
        <f>'Resultater - Vestdanmark'!J99+'Resultater - Østdanmark'!J99</f>
        <v>-7562379380.4703741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-606647.28855816624</v>
      </c>
      <c r="J100" s="280">
        <f>'Resultater - Vestdanmark'!J100+'Resultater - Østdanmark'!J100</f>
        <v>-580789.88777736633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1034388.9484922757</v>
      </c>
      <c r="J101" s="280">
        <f>'Resultater - Vestdanmark'!J101+'Resultater - Østdanmark'!J101</f>
        <v>990299.72216775955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286226.56294538995</v>
      </c>
      <c r="J102" s="280">
        <f>'Resultater - Vestdanmark'!J102+'Resultater - Østdanmark'!J102</f>
        <v>472240.56206711137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310246.95545695163</v>
      </c>
      <c r="J104" s="280">
        <f>'Resultater - Vestdanmark'!J104+'Resultater - Østdanmark'!J104</f>
        <v>511871.41793179489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9488.6186867232918</v>
      </c>
      <c r="J105" s="280">
        <f>'Resultater - Vestdanmark'!J105+'Resultater - Østdanmark'!J105</f>
        <v>15655.11801472329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-518070170.56194645</v>
      </c>
      <c r="J106" s="280">
        <f>'Resultater - Vestdanmark'!J106+'Resultater - Østdanmark'!J106</f>
        <v>-854755568.52162635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-34973.233836315019</v>
      </c>
      <c r="J107" s="280">
        <f>'Resultater - Vestdanmark'!J107+'Resultater - Østdanmark'!J107</f>
        <v>-57701.771052315009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74625.88058269133</v>
      </c>
      <c r="J108" s="280">
        <f>'Resultater - Vestdanmark'!J108+'Resultater - Østdanmark'!J108</f>
        <v>123124.02953965908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343504.41336069477</v>
      </c>
      <c r="J109" s="280">
        <f>'Resultater - Vestdanmark'!J109+'Resultater - Østdanmark'!J109</f>
        <v>326908.83007308323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9967942.9800798073</v>
      </c>
      <c r="J110" s="280">
        <f>'Resultater - Vestdanmark'!J110+'Resultater - Østdanmark'!J110</f>
        <v>9486365.9711743183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195343.77170144278</v>
      </c>
      <c r="J111" s="280">
        <f>'Resultater - Vestdanmark'!J111+'Resultater - Østdanmark'!J111</f>
        <v>185906.21076511967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3731303.0466279737</v>
      </c>
      <c r="J112" s="280">
        <f>'Resultater - Vestdanmark'!J112+'Resultater - Østdanmark'!J112</f>
        <v>3551034.1823190562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42507.033653433064</v>
      </c>
      <c r="J113" s="280">
        <f>'Resultater - Vestdanmark'!J113+'Resultater - Østdanmark'!J113</f>
        <v>40453.409333433068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-2586204586.6692138</v>
      </c>
      <c r="J114" s="280">
        <f>'Resultater - Vestdanmark'!J114+'Resultater - Østdanmark'!J114</f>
        <v>-2461258379.4372134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-10817.013072585138</v>
      </c>
      <c r="J115" s="280">
        <f>'Resultater - Vestdanmark'!J115+'Resultater - Østdanmark'!J115</f>
        <v>-10294.415299785136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2797326.9329336165</v>
      </c>
      <c r="J116" s="280">
        <f>'Resultater - Vestdanmark'!J116+'Resultater - Østdanmark'!J116</f>
        <v>2662180.8611728661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21412.262565954799</v>
      </c>
      <c r="J117" s="280">
        <f>'Resultater - Vestdanmark'!J117+'Resultater - Østdanmark'!J117</f>
        <v>26390.173140597766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1157085.7271217881</v>
      </c>
      <c r="J118" s="280">
        <f>'Resultater - Vestdanmark'!J118+'Resultater - Østdanmark'!J118</f>
        <v>1426084.3562515329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9553.1632986567565</v>
      </c>
      <c r="J119" s="280">
        <f>'Resultater - Vestdanmark'!J119+'Resultater - Østdanmark'!J119</f>
        <v>11774.077247343617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441971.06065624644</v>
      </c>
      <c r="J120" s="280">
        <f>'Resultater - Vestdanmark'!J120+'Resultater - Østdanmark'!J120</f>
        <v>544720.24046618456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8833.5743465669384</v>
      </c>
      <c r="J121" s="280">
        <f>'Resultater - Vestdanmark'!J121+'Resultater - Østdanmark'!J121</f>
        <v>10887.198666566937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-537450594.13078606</v>
      </c>
      <c r="J122" s="280">
        <f>'Resultater - Vestdanmark'!J122+'Resultater - Østdanmark'!J122</f>
        <v>-662396801.36278594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-2709.8349283905177</v>
      </c>
      <c r="J123" s="280">
        <f>'Resultater - Vestdanmark'!J123+'Resultater - Østdanmark'!J123</f>
        <v>-3339.8158051905179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486132.10955144238</v>
      </c>
      <c r="J124" s="280">
        <f>'Resultater - Vestdanmark'!J124+'Resultater - Østdanmark'!J124</f>
        <v>599147.82479198219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82323881.005690798</v>
      </c>
      <c r="J125" s="280">
        <f>'Resultater - Vestdanmark'!J125+'Resultater - Østdanmark'!J125</f>
        <v>78386096.171160832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5239.8247641809012</v>
      </c>
      <c r="J126" s="280">
        <f>'Resultater - Vestdanmark'!J126+'Resultater - Østdanmark'!J126</f>
        <v>4989.1890769425909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116133.63423732575</v>
      </c>
      <c r="J127" s="280">
        <f>'Resultater - Vestdanmark'!J127+'Resultater - Østdanmark'!J127</f>
        <v>110578.63296561723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171561.69845929107</v>
      </c>
      <c r="J128" s="280">
        <f>'Resultater - Vestdanmark'!J128+'Resultater - Østdanmark'!J128</f>
        <v>163355.41559062383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7245.7392422613466</v>
      </c>
      <c r="J129" s="280">
        <f>'Resultater - Vestdanmark'!J129+'Resultater - Østdanmark'!J129</f>
        <v>6899.1549734613482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-285090575.83192879</v>
      </c>
      <c r="J130" s="280">
        <f>'Resultater - Vestdanmark'!J130+'Resultater - Østdanmark'!J130</f>
        <v>-271453884.60376883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-6757.0168947177917</v>
      </c>
      <c r="J131" s="280">
        <f>'Resultater - Vestdanmark'!J131+'Resultater - Østdanmark'!J131</f>
        <v>-6433.8096026217927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11008.392730152173</v>
      </c>
      <c r="J132" s="280">
        <f>'Resultater - Vestdanmark'!J132+'Resultater - Østdanmark'!J132</f>
        <v>10481.830067947913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1128905.9256907196</v>
      </c>
      <c r="J133" s="280">
        <f>'Resultater - Vestdanmark'!J133+'Resultater - Østdanmark'!J133</f>
        <v>1404661.7950289082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1994.5176843777681</v>
      </c>
      <c r="J134" s="280">
        <f>'Resultater - Vestdanmark'!J134+'Resultater - Østdanmark'!J134</f>
        <v>2481.7150189381882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7510.1592646289591</v>
      </c>
      <c r="J135" s="280">
        <f>'Resultater - Vestdanmark'!J135+'Resultater - Østdanmark'!J135</f>
        <v>9344.6526885330713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13826.644973337128</v>
      </c>
      <c r="J136" s="280">
        <f>'Resultater - Vestdanmark'!J136+'Resultater - Østdanmark'!J136</f>
        <v>17204.05527643234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1418.8674777386532</v>
      </c>
      <c r="J137" s="280">
        <f>'Resultater - Vestdanmark'!J137+'Resultater - Østdanmark'!J137</f>
        <v>1765.451746538653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-55826704.872071199</v>
      </c>
      <c r="J138" s="280">
        <f>'Resultater - Vestdanmark'!J138+'Resultater - Østdanmark'!J138</f>
        <v>-69463396.1002312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-2492.2636103603218</v>
      </c>
      <c r="J139" s="280">
        <f>'Resultater - Vestdanmark'!J139+'Resultater - Østdanmark'!J139</f>
        <v>-3101.0444687603213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2371.2412074498138</v>
      </c>
      <c r="J140" s="280">
        <f>'Resultater - Vestdanmark'!J140+'Resultater - Østdanmark'!J140</f>
        <v>2950.4601358745017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8327232.8365053385</v>
      </c>
      <c r="J141" s="280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2520696.8800802073</v>
      </c>
      <c r="J142" s="280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-177299653.72506946</v>
      </c>
      <c r="J143" s="280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2519532.6501988312</v>
      </c>
      <c r="J144" s="280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66204.993236055947</v>
      </c>
      <c r="J146" s="280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38575.31486423024</v>
      </c>
      <c r="J150" s="280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870749.37579411326</v>
      </c>
      <c r="J153" s="280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263580.38474364718</v>
      </c>
      <c r="J154" s="280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-18539599.629401777</v>
      </c>
      <c r="J155" s="280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393221.8587015518</v>
      </c>
      <c r="J156" s="280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6922.8227031228453</v>
      </c>
      <c r="J158" s="280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4033.6846583463876</v>
      </c>
      <c r="J162" s="280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238782.37503223581</v>
      </c>
      <c r="J165" s="280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-2160930.4342343225</v>
      </c>
      <c r="J166" s="280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24566.476784232447</v>
      </c>
      <c r="J167" s="280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21241.969663272303</v>
      </c>
      <c r="J174" s="280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-192235.37215529609</v>
      </c>
      <c r="J175" s="280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3834.0744114120007</v>
      </c>
      <c r="J176" s="280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26833.324057007267</v>
      </c>
      <c r="J183" s="280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-22959417.088653084</v>
      </c>
      <c r="J184" s="280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4971.6854585923757</v>
      </c>
      <c r="J185" s="280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2387.0800996378143</v>
      </c>
      <c r="J186" s="280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-2042459.1271350924</v>
      </c>
      <c r="J187" s="280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775.92778833522641</v>
      </c>
      <c r="J188" s="280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2024635.254957163</v>
      </c>
      <c r="J189" s="280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-6670398.9564645123</v>
      </c>
      <c r="J190" s="280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101109.65690796172</v>
      </c>
      <c r="J191" s="280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180110.61603347247</v>
      </c>
      <c r="J198" s="280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-593395.60658953083</v>
      </c>
      <c r="J199" s="280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15780.119864248361</v>
      </c>
      <c r="J200" s="280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10977496.633408947</v>
      </c>
      <c r="J207" s="280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-31987733.23110842</v>
      </c>
      <c r="J208" s="280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469227.92823354003</v>
      </c>
      <c r="J209" s="280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1336335.7173386849</v>
      </c>
      <c r="J216" s="280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-3893998.0453592101</v>
      </c>
      <c r="J217" s="280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73232.104406390645</v>
      </c>
      <c r="J218" s="280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261152.46068040878</v>
      </c>
      <c r="J225" s="280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71902.885248768187</v>
      </c>
      <c r="J226" s="280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143497.42839494569</v>
      </c>
      <c r="J228" s="280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2601.4219401527612</v>
      </c>
      <c r="J230" s="280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1010.7085482551205</v>
      </c>
      <c r="J234" s="280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23232.002137985502</v>
      </c>
      <c r="J237" s="280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6396.4474218412861</v>
      </c>
      <c r="J238" s="280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22395.552408459735</v>
      </c>
      <c r="J240" s="280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231.42129282630628</v>
      </c>
      <c r="J242" s="280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89.912165073100027</v>
      </c>
      <c r="J246" s="280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2531835.1857061931</v>
      </c>
      <c r="J249" s="280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-3924018.9896024987</v>
      </c>
      <c r="J250" s="280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66089.036107890293</v>
      </c>
      <c r="J251" s="280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225230.88732958562</v>
      </c>
      <c r="J258" s="280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-349078.91473978292</v>
      </c>
      <c r="J259" s="280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10314.473843427966</v>
      </c>
      <c r="J260" s="280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38469.5604206551</v>
      </c>
      <c r="J267" s="280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-591756.15505640011</v>
      </c>
      <c r="J268" s="280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8308.6552922801311</v>
      </c>
      <c r="J269" s="280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3422.2343056293757</v>
      </c>
      <c r="J276" s="280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-52642.353909352598</v>
      </c>
      <c r="J277" s="280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1296.726548506148</v>
      </c>
      <c r="J278" s="280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1834479.4098559336</v>
      </c>
      <c r="J285" s="280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-8160261.0331966113</v>
      </c>
      <c r="J286" s="280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130584.91177752649</v>
      </c>
      <c r="J287" s="280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163194.4399866059</v>
      </c>
      <c r="J294" s="280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-725933.04798205709</v>
      </c>
      <c r="J295" s="280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20380.304150249798</v>
      </c>
      <c r="J296" s="280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7047151.4475626573</v>
      </c>
      <c r="J303" s="280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-23630951.446640048</v>
      </c>
      <c r="J304" s="280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335809.75751592423</v>
      </c>
      <c r="J305" s="280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912870.889825891</v>
      </c>
      <c r="J312" s="280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-3061096.0804578238</v>
      </c>
      <c r="J313" s="280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52409.615334855233</v>
      </c>
      <c r="J314" s="280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636884.42782686418</v>
      </c>
      <c r="J321" s="280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315471.67087319482</v>
      </c>
      <c r="J322" s="280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-23629319.638250768</v>
      </c>
      <c r="J323" s="280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307004.86268002487</v>
      </c>
      <c r="J324" s="280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6388.6574740312617</v>
      </c>
      <c r="J326" s="280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3029.1837598985721</v>
      </c>
      <c r="J330" s="280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54668.981232537204</v>
      </c>
      <c r="J333" s="280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27079.504696340715</v>
      </c>
      <c r="J334" s="280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-2028297.0903353989</v>
      </c>
      <c r="J335" s="280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47914.053713067478</v>
      </c>
      <c r="J336" s="280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548.39054040094936</v>
      </c>
      <c r="J338" s="280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260.01953083522426</v>
      </c>
      <c r="J342" s="280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1292293.5165717863</v>
      </c>
      <c r="J345" s="280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199104.36392636053</v>
      </c>
      <c r="J346" s="280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-12654938.385150034</v>
      </c>
      <c r="J347" s="280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191823.08084794122</v>
      </c>
      <c r="J348" s="280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12410.579334483886</v>
      </c>
      <c r="J350" s="280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10637.45491512071</v>
      </c>
      <c r="J354" s="280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114961.8336418485</v>
      </c>
      <c r="J357" s="280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17712.23214350687</v>
      </c>
      <c r="J358" s="280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-1125777.4667483179</v>
      </c>
      <c r="J359" s="280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29937.706259505281</v>
      </c>
      <c r="J360" s="280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1104.0393985994624</v>
      </c>
      <c r="J362" s="280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946.30307019484246</v>
      </c>
      <c r="J366" s="280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832681.84288694861</v>
      </c>
      <c r="J369" s="280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-1708861.990999335</v>
      </c>
      <c r="J370" s="280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30537.276277430748</v>
      </c>
      <c r="J371" s="280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74074.991688035487</v>
      </c>
      <c r="J378" s="280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-152019.57249410267</v>
      </c>
      <c r="J379" s="280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4765.9332918533546</v>
      </c>
      <c r="J380" s="280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156643.47190119475</v>
      </c>
      <c r="J387" s="280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-718923.39715846837</v>
      </c>
      <c r="J388" s="280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11776.530603732615</v>
      </c>
      <c r="J389" s="280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13934.9308240427</v>
      </c>
      <c r="J396" s="280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-63955.09296109149</v>
      </c>
      <c r="J397" s="280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1837.9556433571138</v>
      </c>
      <c r="J398" s="280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2149257.1655585216</v>
      </c>
      <c r="J405" s="280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-7269412.8801644929</v>
      </c>
      <c r="J406" s="280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285788.87906931207</v>
      </c>
      <c r="J407" s="280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335433.19924901793</v>
      </c>
      <c r="J414" s="280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-1134532.6460372331</v>
      </c>
      <c r="J415" s="280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44602.888640875302</v>
      </c>
      <c r="J416" s="280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783291.25515859458</v>
      </c>
      <c r="J423" s="280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848565.52642181097</v>
      </c>
      <c r="J424" s="280">
        <f>'Resultater - Vestdanmark'!J424+'Resultater - Østdanmark'!J424</f>
        <v>772281.29620827944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-573396.54662085196</v>
      </c>
      <c r="J425" s="280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2679978.7351939101</v>
      </c>
      <c r="J426" s="280">
        <f>'Resultater - Vestdanmark'!J426+'Resultater - Østdanmark'!J426</f>
        <v>2630197.4122624523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104331.85268210551</v>
      </c>
      <c r="J427" s="280">
        <f>'Resultater - Vestdanmark'!J427+'Resultater - Østdanmark'!J427</f>
        <v>102393.86056963103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13709.205442428665</v>
      </c>
      <c r="J428" s="280">
        <f>'Resultater - Vestdanmark'!J428+'Resultater - Østdanmark'!J428</f>
        <v>13454.553278849517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1388963.5194082048</v>
      </c>
      <c r="J429" s="280">
        <f>'Resultater - Vestdanmark'!J429+'Resultater - Østdanmark'!J429</f>
        <v>1363163.1499531572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1262146.510248078</v>
      </c>
      <c r="J430" s="280">
        <f>'Resultater - Vestdanmark'!J430+'Resultater - Østdanmark'!J430</f>
        <v>1227467.8963796864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24180.745341776219</v>
      </c>
      <c r="J431" s="280">
        <f>'Resultater - Vestdanmark'!J431+'Resultater - Østdanmark'!J431</f>
        <v>23516.35755165149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112563.08046776136</v>
      </c>
      <c r="J432" s="280">
        <f>'Resultater - Vestdanmark'!J432+'Resultater - Østdanmark'!J432</f>
        <v>109470.30829616069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111066.04139884243</v>
      </c>
      <c r="J433" s="280">
        <f>'Resultater - Vestdanmark'!J433+'Resultater - Østdanmark'!J433</f>
        <v>108014.40172604074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90971.147089593054</v>
      </c>
      <c r="J434" s="280">
        <f>'Resultater - Vestdanmark'!J434+'Resultater - Østdanmark'!J434</f>
        <v>88074.943427410559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44121.743543858545</v>
      </c>
      <c r="J435" s="280">
        <f>'Resultater - Vestdanmark'!J435+'Resultater - Østdanmark'!J435</f>
        <v>42717.06129765416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5823.9227067081456</v>
      </c>
      <c r="J436" s="280">
        <f>'Resultater - Vestdanmark'!J436+'Resultater - Østdanmark'!J436</f>
        <v>5638.5093442183434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59861.078960088766</v>
      </c>
      <c r="J437" s="280">
        <f>'Resultater - Vestdanmark'!J437+'Resultater - Østdanmark'!J437</f>
        <v>57955.311234244218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157498.34817848625</v>
      </c>
      <c r="J438" s="280">
        <f>'Resultater - Vestdanmark'!J438+'Resultater - Østdanmark'!J438</f>
        <v>150587.0929141927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580.93006043583182</v>
      </c>
      <c r="J439" s="283">
        <f>'Resultater - Vestdanmark'!J439+'Resultater - Østdanmark'!J439</f>
        <v>555.43800934572437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4752039274.4896984</v>
      </c>
      <c r="J440" s="277">
        <f>'Resultater - Vestdanmark'!J440+'Resultater - Østdanmark'!J440</f>
        <v>4752039274.4896984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131956390.2838318</v>
      </c>
      <c r="J441" s="280">
        <f>'Resultater - Vestdanmark'!J441+'Resultater - Østdanmark'!J441</f>
        <v>131956390.2838318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62759746.598407798</v>
      </c>
      <c r="J443" s="280">
        <f>'Resultater - Vestdanmark'!J443+'Resultater - Østdanmark'!J443</f>
        <v>62759746.598407805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115059535.4304143</v>
      </c>
      <c r="J444" s="280">
        <f>'Resultater - Vestdanmark'!J444+'Resultater - Østdanmark'!J444</f>
        <v>115059535.4304143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1346116103.3222597</v>
      </c>
      <c r="J445" s="280">
        <f>'Resultater - Vestdanmark'!J445+'Resultater - Østdanmark'!J445</f>
        <v>1346116103.3222597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193911524.74636257</v>
      </c>
      <c r="J446" s="280">
        <f>'Resultater - Vestdanmark'!J446+'Resultater - Østdanmark'!J446</f>
        <v>193911524.74636257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1828078772.7125964</v>
      </c>
      <c r="J449" s="280">
        <f>'Resultater - Vestdanmark'!J449+'Resultater - Østdanmark'!J449</f>
        <v>1828078772.7125964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131151778.14795476</v>
      </c>
      <c r="J450" s="280">
        <f>'Resultater - Vestdanmark'!J450+'Resultater - Østdanmark'!J450</f>
        <v>131151778.14795476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97358068.441119805</v>
      </c>
      <c r="J453" s="280">
        <f>'Resultater - Vestdanmark'!J453+'Resultater - Østdanmark'!J453</f>
        <v>97358068.441119805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3223276216.3233547</v>
      </c>
      <c r="J454" s="280">
        <f>'Resultater - Vestdanmark'!J454+'Resultater - Østdanmark'!J454</f>
        <v>3223276216.3233547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12195000.4</v>
      </c>
      <c r="J455" s="280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361184.40000000008</v>
      </c>
      <c r="J456" s="280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4390946.2500000009</v>
      </c>
      <c r="J457" s="280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87814468.774844885</v>
      </c>
      <c r="J458" s="280">
        <f>'Resultater - Vestdanmark'!J458+'Resultater - Østdanmark'!J458</f>
        <v>84071513.096495241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-93138.953061874388</v>
      </c>
      <c r="J459" s="286">
        <f>'Resultater - Vestdanmark'!J459+'Resultater - Østdanmark'!J459</f>
        <v>-89169.049490148347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119215807.62637229</v>
      </c>
      <c r="J460" s="280">
        <f>'Resultater - Vestdanmark'!J460+'Resultater - Østdanmark'!J460</f>
        <v>116937817.70869543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-248800.47137658359</v>
      </c>
      <c r="J461" s="286">
        <f>'Resultater - Vestdanmark'!J461+'Resultater - Østdanmark'!J461</f>
        <v>-244046.3621976618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47384.943038059275</v>
      </c>
      <c r="J462" s="280">
        <f>'Resultater - Vestdanmark'!J462+'Resultater - Østdanmark'!J462</f>
        <v>48934.421828019105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72263542.273224667</v>
      </c>
      <c r="J463" s="280">
        <f>'Resultater - Vestdanmark'!J463+'Resultater - Østdanmark'!J463</f>
        <v>75720860.032909796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33002600</v>
      </c>
      <c r="J464" s="280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2165561.9999999995</v>
      </c>
      <c r="J465" s="280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 t="e">
        <f ca="1">'Resultater - Vestdanmark'!H466+'Resultater - Østdanmark'!H466</f>
        <v>#REF!</v>
      </c>
      <c r="I466" s="279" t="e">
        <f ca="1">'Resultater - Vestdanmark'!I466+'Resultater - Østdanmark'!I466</f>
        <v>#REF!</v>
      </c>
      <c r="J466" s="280" t="e">
        <f ca="1">'Resultater - Vestdanmark'!J466+'Resultater - Østdanmark'!J466</f>
        <v>#REF!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74480686.960000008</v>
      </c>
      <c r="J467" s="280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3689.3999999999996</v>
      </c>
      <c r="J470" s="280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0</v>
      </c>
      <c r="J471" s="280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38439586.355437025</v>
      </c>
      <c r="J473" s="280">
        <f>'Resultater - Vestdanmark'!J473+'Resultater - Østdanmark'!J473</f>
        <v>40045479.800409868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 t="e">
        <f ca="1">'Resultater - Vestdanmark'!H474+'Resultater - Østdanmark'!H474</f>
        <v>#REF!</v>
      </c>
      <c r="I474" s="285" t="e">
        <f ca="1">'Resultater - Vestdanmark'!I474+'Resultater - Østdanmark'!I474</f>
        <v>#REF!</v>
      </c>
      <c r="J474" s="286" t="e">
        <f ca="1">'Resultater - Vestdanmark'!J474+'Resultater - Østdanmark'!J474</f>
        <v>#REF!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34394000.270147577</v>
      </c>
      <c r="J475" s="286">
        <f>'Resultater - Vestdanmark'!J475+'Resultater - Østdanmark'!J475</f>
        <v>32928009.296127297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21360055.117827062</v>
      </c>
      <c r="J476" s="286">
        <f>'Resultater - Vestdanmark'!J476+'Resultater - Østdanmark'!J476</f>
        <v>20951904.628657635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25320.198569955341</v>
      </c>
      <c r="J477" s="286">
        <f>'Resultater - Vestdanmark'!J477+'Resultater - Østdanmark'!J477</f>
        <v>26148.164335582729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6383279.5674681785</v>
      </c>
      <c r="J478" s="286">
        <f>'Resultater - Vestdanmark'!J478+'Resultater - Østdanmark'!J478</f>
        <v>6688675.969573698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 t="e">
        <f ca="1">'Resultater - Vestdanmark'!H479+'Resultater - Østdanmark'!H479</f>
        <v>#REF!</v>
      </c>
      <c r="I479" s="285" t="e">
        <f ca="1">'Resultater - Vestdanmark'!I479+'Resultater - Østdanmark'!I479</f>
        <v>#REF!</v>
      </c>
      <c r="J479" s="286" t="e">
        <f ca="1">'Resultater - Vestdanmark'!J479+'Resultater - Østdanmark'!J479</f>
        <v>#REF!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 t="e">
        <f ca="1">'Resultater - Vestdanmark'!H480+'Resultater - Østdanmark'!H480</f>
        <v>#REF!</v>
      </c>
      <c r="I480" s="285" t="e">
        <f ca="1">'Resultater - Vestdanmark'!I480+'Resultater - Østdanmark'!I480</f>
        <v>#REF!</v>
      </c>
      <c r="J480" s="286" t="e">
        <f ca="1">'Resultater - Vestdanmark'!J480+'Resultater - Østdanmark'!J480</f>
        <v>#REF!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22.141657384641213</v>
      </c>
      <c r="J481" s="290">
        <f>'Resultater - Vestdanmark'!J481+'Resultater - Østdanmark'!J481</f>
        <v>21.083253543160303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7.9766231601288453</v>
      </c>
      <c r="J482" s="290">
        <f>'Resultater - Vestdanmark'!J482+'Resultater - Østdanmark'!J482</f>
        <v>7.7078751185296177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3.9916250431283249</v>
      </c>
      <c r="J483" s="290">
        <f>'Resultater - Vestdanmark'!J483+'Resultater - Østdanmark'!J483</f>
        <v>3.8685108167589539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41.288597648257841</v>
      </c>
      <c r="J484" s="290">
        <f>'Resultater - Vestdanmark'!J484+'Resultater - Østdanmark'!J484</f>
        <v>37.485489190876464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17.543930524502301</v>
      </c>
      <c r="J485" s="290">
        <f>'Resultater - Vestdanmark'!J485+'Resultater - Østdanmark'!J485</f>
        <v>17.543930524502301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 t="e">
        <f ca="1">'Resultater - Vestdanmark'!H486+'Resultater - Østdanmark'!H486</f>
        <v>#REF!</v>
      </c>
      <c r="I486" s="289" t="e">
        <f ca="1">'Resultater - Vestdanmark'!I486+'Resultater - Østdanmark'!I486</f>
        <v>#REF!</v>
      </c>
      <c r="J486" s="290" t="e">
        <f ca="1">'Resultater - Vestdanmark'!J486+'Resultater - Østdanmark'!J486</f>
        <v>#REF!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0</v>
      </c>
      <c r="J487" s="290">
        <f>'Resultater - Vestdanmark'!J487+'Resultater - Østdanmark'!J487</f>
        <v>0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0</v>
      </c>
      <c r="J488" s="290">
        <f>'Resultater - Vestdanmark'!J488+'Resultater - Østdanmark'!J488</f>
        <v>0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 t="e">
        <f ca="1">'Resultater - Vestdanmark'!H489+'Resultater - Østdanmark'!H489</f>
        <v>#REF!</v>
      </c>
      <c r="I489" s="292" t="e">
        <f ca="1">'Resultater - Vestdanmark'!I489+'Resultater - Østdanmark'!I489</f>
        <v>#REF!</v>
      </c>
      <c r="J489" s="293" t="e">
        <f ca="1">'Resultater - Vestdanmark'!J489+'Resultater - Østdanmark'!J489</f>
        <v>#REF!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0</v>
      </c>
      <c r="J490" s="296">
        <f>'Resultater - Vestdanmark'!J490+'Resultater - Østdanmark'!J490</f>
        <v>0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0</v>
      </c>
      <c r="J491" s="296">
        <f>'Resultater - Vestdanmark'!J491+'Resultater - Østdanmark'!J491</f>
        <v>0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0</v>
      </c>
      <c r="J492" s="296">
        <f>'Resultater - Vestdanmark'!J492+'Resultater - Østdanmark'!J492</f>
        <v>0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356099.24822003779</v>
      </c>
      <c r="J493" s="296">
        <f>'Resultater - Vestdanmark'!J493+'Resultater - Østdanmark'!J493</f>
        <v>344101.56779150077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227903.51886082417</v>
      </c>
      <c r="J494" s="296">
        <f>'Resultater - Vestdanmark'!J494+'Resultater - Østdanmark'!J494</f>
        <v>220225.00338656051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0</v>
      </c>
      <c r="J495" s="296">
        <f>'Resultater - Vestdanmark'!J495+'Resultater - Østdanmark'!J495</f>
        <v>0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0</v>
      </c>
      <c r="J496" s="296">
        <f>'Resultater - Vestdanmark'!J496+'Resultater - Østdanmark'!J496</f>
        <v>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0</v>
      </c>
      <c r="J497" s="299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4" t="s">
        <v>251</v>
      </c>
      <c r="B1" s="364"/>
      <c r="C1" s="364"/>
      <c r="F1" s="365" t="s">
        <v>253</v>
      </c>
      <c r="G1" s="365"/>
      <c r="H1" s="365"/>
      <c r="I1" s="365"/>
      <c r="J1" s="365"/>
      <c r="K1" s="365"/>
      <c r="L1" s="365"/>
      <c r="M1" s="366"/>
      <c r="N1" s="367" t="s">
        <v>254</v>
      </c>
      <c r="O1" s="368"/>
      <c r="P1" s="369"/>
      <c r="Q1" s="361" t="s">
        <v>123</v>
      </c>
      <c r="R1" s="361"/>
      <c r="S1" s="361"/>
      <c r="T1" s="362"/>
      <c r="U1" s="363" t="s">
        <v>230</v>
      </c>
      <c r="V1" s="361"/>
      <c r="W1" s="361"/>
      <c r="X1" s="362"/>
    </row>
    <row r="2" spans="1:26" x14ac:dyDescent="0.25">
      <c r="A2" s="197" t="s">
        <v>129</v>
      </c>
      <c r="B2" s="197" t="s">
        <v>318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0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 t="e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 t="e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 ca="1"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2" t="e">
        <f t="shared" ca="1" si="4"/>
        <v>#REF!</v>
      </c>
      <c r="O5" s="193" t="e">
        <f t="shared" ca="1" si="1"/>
        <v>#REF!</v>
      </c>
      <c r="P5" s="203" t="e">
        <f t="shared" ca="1" si="5"/>
        <v>#REF!</v>
      </c>
      <c r="Q5" s="190" t="e">
        <f ca="1">IFERROR(VLOOKUP(A5,[1]Energiindhold!$A$2:$C$11,3,FALSE),IFERROR(VLOOKUP(A5,[1]Biogasudbytte!$A$2:$B$18,2,FALSE)*[1]Energiindhold!$C$10,0))*O5</f>
        <v>#REF!</v>
      </c>
      <c r="R5" s="190" t="e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0" t="e">
        <f ca="1">IFERROR(VLOOKUP(A5,[1]Biogasudbytte!$A$2:$B$18,2,FALSE)*[1]Energiindhold!$C$10,0)*J5*IFERROR(VLOOKUP(A5,Biogasanlæg!$F$3:$G$8,2,FALSE),1)</f>
        <v>#REF!</v>
      </c>
      <c r="T5" s="191" t="e">
        <f t="shared" ca="1" si="6"/>
        <v>#REF!</v>
      </c>
      <c r="U5" s="189" t="e">
        <f ca="1">O5*IFERROR(VLOOKUP(A5,[1]Tørstofindhold!A$2:B$24,2,FALSE),0)</f>
        <v>#REF!</v>
      </c>
      <c r="V5" s="190" t="e">
        <f ca="1">IF(D5=År1,P5,SUM(O5,P5))*IFERROR(VLOOKUP(A5,[1]Tørstofindhold!A$2:B$24,2,FALSE),0)</f>
        <v>#REF!</v>
      </c>
      <c r="W5" s="190" t="e">
        <f ca="1">J5*IFERROR(VLOOKUP(A5,[1]Tørstofindhold!A$2:B$24,2,FALSE),0)</f>
        <v>#REF!</v>
      </c>
      <c r="X5" s="191" t="e">
        <f t="shared" ca="1" si="7"/>
        <v>#REF!</v>
      </c>
      <c r="Y5" s="171" t="e">
        <f t="shared" ca="1" si="2"/>
        <v>#REF!</v>
      </c>
      <c r="Z5" s="103" t="e">
        <f t="shared" ca="1" si="3"/>
        <v>#REF!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314672965.75604105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314672965.75604105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314672965.75604105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0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 t="e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 t="e">
        <f t="shared" ca="1" si="4"/>
        <v>#REF!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 t="e">
        <f t="shared" ca="1" si="2"/>
        <v>#REF!</v>
      </c>
      <c r="Z7" s="103" t="e">
        <f t="shared" ca="1" si="3"/>
        <v>#REF!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 t="e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 t="e">
        <f t="shared" ca="1" si="9"/>
        <v>#REF!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 t="e">
        <f t="shared" ca="1" si="2"/>
        <v>#REF!</v>
      </c>
      <c r="Z26" s="103" t="e">
        <f t="shared" ca="1" si="3"/>
        <v>#REF!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313</v>
      </c>
      <c r="B35" s="192" t="s">
        <v>319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314</v>
      </c>
      <c r="B36" s="192" t="s">
        <v>319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171033.55988230981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138453.77532930995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51598.780380153592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218519.66268109329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0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 t="e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 t="e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 ca="1"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2" t="e">
        <f t="shared" ca="1" si="9"/>
        <v>#REF!</v>
      </c>
      <c r="O53" s="193" t="e">
        <f t="shared" ca="1" si="1"/>
        <v>#REF!</v>
      </c>
      <c r="P53" s="203" t="e">
        <f t="shared" ca="1" si="10"/>
        <v>#REF!</v>
      </c>
      <c r="Q53" s="190" t="e">
        <f ca="1">IFERROR(VLOOKUP(A53,[1]Energiindhold!$A$2:$C$11,3,FALSE),IFERROR(VLOOKUP(A53,[1]Biogasudbytte!$A$2:$B$18,2,FALSE)*[1]Energiindhold!$C$10,0))*O53</f>
        <v>#REF!</v>
      </c>
      <c r="R53" s="190" t="e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0" t="e">
        <f ca="1">IFERROR(VLOOKUP(A53,[1]Biogasudbytte!$A$2:$B$18,2,FALSE)*[1]Energiindhold!$C$10,0)*J53*IFERROR(VLOOKUP(A53,Biogasanlæg!$F$3:$G$8,2,FALSE),1)</f>
        <v>#REF!</v>
      </c>
      <c r="T53" s="191" t="e">
        <f t="shared" ca="1" si="11"/>
        <v>#REF!</v>
      </c>
      <c r="U53" s="189" t="e">
        <f ca="1">O53*IFERROR(VLOOKUP(A53,[1]Tørstofindhold!A$2:B$24,2,FALSE),0)</f>
        <v>#REF!</v>
      </c>
      <c r="V53" s="190" t="e">
        <f ca="1">IF(D53=År1,P53,SUM(O53,P53))*IFERROR(VLOOKUP(A53,[1]Tørstofindhold!A$2:B$24,2,FALSE),0)</f>
        <v>#REF!</v>
      </c>
      <c r="W53" s="190" t="e">
        <f ca="1">J53*IFERROR(VLOOKUP(A53,[1]Tørstofindhold!A$2:B$24,2,FALSE),0)</f>
        <v>#REF!</v>
      </c>
      <c r="X53" s="191" t="e">
        <f t="shared" ca="1" si="12"/>
        <v>#REF!</v>
      </c>
      <c r="Y53" s="171" t="e">
        <f t="shared" ca="1" si="2"/>
        <v>#REF!</v>
      </c>
      <c r="Z53" s="103" t="e">
        <f t="shared" ca="1" si="3"/>
        <v>#REF!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417590829.5596981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417590829.5596981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417590829.5596981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0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 t="e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 t="e">
        <f t="shared" ca="1" si="9"/>
        <v>#REF!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 t="e">
        <f t="shared" ca="1" si="2"/>
        <v>#REF!</v>
      </c>
      <c r="Z55" s="103" t="e">
        <f t="shared" ca="1" si="3"/>
        <v>#REF!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2122340.654767077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1061170.3273835385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401728.76679519669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659441.56058834167</v>
      </c>
      <c r="O57" s="193">
        <f t="shared" si="1"/>
        <v>659441.56058834167</v>
      </c>
      <c r="P57" s="203">
        <f t="shared" si="10"/>
        <v>1061170.3273835385</v>
      </c>
      <c r="Q57" s="190">
        <f>IFERROR(VLOOKUP(A57,[1]Energiindhold!$A$2:$C$11,3,FALSE),IFERROR(VLOOKUP(A57,[1]Biogasudbytte!$A$2:$B$18,2,FALSE)*[1]Energiindhold!$C$10,0))*O57</f>
        <v>1.420437121507288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3.7061980066914297</v>
      </c>
      <c r="S57" s="190">
        <f>IFERROR(VLOOKUP(A57,[1]Biogasudbytte!$A$2:$B$18,2,FALSE)*[1]Energiindhold!$C$10,0)*J57*IFERROR(VLOOKUP(A57,Biogasanlæg!$F$3:$G$8,2,FALSE),1)</f>
        <v>2.2857608851841418</v>
      </c>
      <c r="T57" s="191">
        <f t="shared" si="11"/>
        <v>1.420437121507288</v>
      </c>
      <c r="U57" s="189">
        <f>O57*IFERROR(VLOOKUP(A57,[1]Tørstofindhold!A$2:B$24,2,FALSE),0)</f>
        <v>197832.4681765025</v>
      </c>
      <c r="V57" s="190">
        <f>IF(D57=År1,P57,SUM(O57,P57))*IFERROR(VLOOKUP(A57,[1]Tørstofindhold!A$2:B$24,2,FALSE),0)</f>
        <v>516183.56639156403</v>
      </c>
      <c r="W57" s="190">
        <f>J57*IFERROR(VLOOKUP(A57,[1]Tørstofindhold!A$2:B$24,2,FALSE),0)</f>
        <v>318351.09821506153</v>
      </c>
      <c r="X57" s="191">
        <f t="shared" si="12"/>
        <v>197832.4681765025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6674.1809084363849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3337.0904542181925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3337.0904542181925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3337.0904542181925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1.5694002697142738E-3</v>
      </c>
      <c r="S59" s="190">
        <f>IFERROR(VLOOKUP(A59,[1]Biogasudbytte!$A$2:$B$18,2,FALSE)*[1]Energiindhold!$C$10,0)*J59*IFERROR(VLOOKUP(A59,Biogasanlæg!$F$3:$G$8,2,FALSE),1)</f>
        <v>1.5694002697142738E-3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210.23669861574612</v>
      </c>
      <c r="W59" s="190">
        <f>J59*IFERROR(VLOOKUP(A59,[1]Tørstofindhold!A$2:B$24,2,FALSE),0)</f>
        <v>210.23669861574612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145303.11165081069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110008.34505172751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9790151.9274066389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6597597.615337275</v>
      </c>
      <c r="O64" s="193">
        <f t="shared" si="1"/>
        <v>6597597.615337275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12.138754912518669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12.277875330355212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12.138754912518669</v>
      </c>
      <c r="U64" s="189">
        <f>O64*IFERROR(VLOOKUP(A64,[1]Tørstofindhold!A$2:B$24,2,FALSE),0)</f>
        <v>1847327.3322944371</v>
      </c>
      <c r="V64" s="190">
        <f>IF(D64=År1,P64,SUM(O64,P64))*IFERROR(VLOOKUP(A64,[1]Tørstofindhold!A$2:B$24,2,FALSE),0)</f>
        <v>1868499.2689717831</v>
      </c>
      <c r="W64" s="190">
        <f>J64*IFERROR(VLOOKUP(A64,[1]Tørstofindhold!A$2:B$24,2,FALSE),0)</f>
        <v>21171.936677345977</v>
      </c>
      <c r="X64" s="191">
        <f t="shared" si="12"/>
        <v>1847327.3322944371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618468.71483434096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581579.9632190367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53644.580306161413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1385491.0293729189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1439135.6096790803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14.629456937744798</v>
      </c>
      <c r="S67" s="190">
        <f>IFERROR(VLOOKUP(A67,[1]Biogasudbytte!$A$2:$B$18,2,FALSE)*[1]Energiindhold!$C$10,0)*J67*IFERROR(VLOOKUP(A67,Biogasanlæg!$F$3:$G$8,2,FALSE),1)</f>
        <v>0.30928997353838589</v>
      </c>
      <c r="T67" s="191">
        <f t="shared" si="11"/>
        <v>14.320166964206413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1223265.2682272182</v>
      </c>
      <c r="W67" s="190">
        <f>J67*IFERROR(VLOOKUP(A67,[1]Tørstofindhold!A$2:B$24,2,FALSE),0)</f>
        <v>45597.893260237201</v>
      </c>
      <c r="X67" s="191">
        <f t="shared" si="12"/>
        <v>1177667.3749669809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3862742.0312364982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-3862742.0312364982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456500.14494289405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508461.98144503916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-51961.836502145103</v>
      </c>
      <c r="O70" s="193">
        <f t="shared" si="20"/>
        <v>0</v>
      </c>
      <c r="P70" s="203">
        <f t="shared" si="10"/>
        <v>508461.98144503916</v>
      </c>
      <c r="Q70" s="190">
        <f>IFERROR(VLOOKUP(A70,[1]Energiindhold!$A$2:$C$11,3,FALSE),IFERROR(VLOOKUP(A70,[1]Biogasudbytte!$A$2:$B$18,2,FALSE)*[1]Energiindhold!$C$10,0))*O70</f>
        <v>0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1.8727470858101014</v>
      </c>
      <c r="S70" s="190">
        <f>IFERROR(VLOOKUP(A70,[1]Biogasudbytte!$A$2:$B$18,2,FALSE)*[1]Energiindhold!$C$10,0)*J70*IFERROR(VLOOKUP(A70,Biogasanlæg!$F$3:$G$8,2,FALSE),1)</f>
        <v>1.8727470858101014</v>
      </c>
      <c r="T70" s="191">
        <f t="shared" si="11"/>
        <v>0</v>
      </c>
      <c r="U70" s="189">
        <f>O70*IFERROR(VLOOKUP(A70,[1]Tørstofindhold!A$2:B$24,2,FALSE),0)</f>
        <v>0</v>
      </c>
      <c r="V70" s="190">
        <f>IF(D70=År1,P70,SUM(O70,P70))*IFERROR(VLOOKUP(A70,[1]Tørstofindhold!A$2:B$24,2,FALSE),0)</f>
        <v>213554.03220691642</v>
      </c>
      <c r="W70" s="190">
        <f>J70*IFERROR(VLOOKUP(A70,[1]Tørstofindhold!A$2:B$24,2,FALSE),0)</f>
        <v>213554.03220691642</v>
      </c>
      <c r="X70" s="191">
        <f t="shared" si="12"/>
        <v>0</v>
      </c>
      <c r="Y70" s="171">
        <f t="shared" si="21"/>
        <v>1</v>
      </c>
      <c r="Z70" s="103">
        <f t="shared" si="22"/>
        <v>0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4703372.1615964994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2169017.6219496708</v>
      </c>
      <c r="O73" s="193">
        <f t="shared" si="20"/>
        <v>2169017.6219496708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7.4285816927105506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7.438287517751343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7.4285816927105506</v>
      </c>
      <c r="U73" s="189">
        <f>O73*IFERROR(VLOOKUP(A73,[1]Tørstofindhold!A$2:B$24,2,FALSE),0)</f>
        <v>672395.46280439792</v>
      </c>
      <c r="V73" s="190">
        <f>IF(D73=År1,P73,SUM(O73,P73))*IFERROR(VLOOKUP(A73,[1]Tørstofindhold!A$2:B$24,2,FALSE),0)</f>
        <v>673273.98214902682</v>
      </c>
      <c r="W73" s="190">
        <f>J73*IFERROR(VLOOKUP(A73,[1]Tørstofindhold!A$2:B$24,2,FALSE),0)</f>
        <v>878.51934462886106</v>
      </c>
      <c r="X73" s="191">
        <f t="shared" si="12"/>
        <v>672395.46280439792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 t="e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 t="e">
        <f t="shared" ca="1" si="9"/>
        <v>#REF!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 t="e">
        <f t="shared" ca="1" si="21"/>
        <v>#REF!</v>
      </c>
      <c r="Z74" s="103" t="e">
        <f t="shared" ca="1" si="22"/>
        <v>#REF!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10386797.369068628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7893966.0004921574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2492831.3685764708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7893966.0004921574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3.9958466497891258</v>
      </c>
      <c r="S75" s="190">
        <f>IFERROR(VLOOKUP(A75,[1]Biogasudbytte!$A$2:$B$18,2,FALSE)*[1]Energiindhold!$C$10,0)*J75*IFERROR(VLOOKUP(A75,Biogasanlæg!$F$3:$G$8,2,FALSE),1)</f>
        <v>3.9958466497891258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599941.41603740398</v>
      </c>
      <c r="W75" s="190">
        <f>J75*IFERROR(VLOOKUP(A75,[1]Tørstofindhold!A$2:B$24,2,FALSE),0)</f>
        <v>599941.41603740398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1296795.0922933305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1212571.3389336092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84223.753359721275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4525643.0291759707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3142972.4098101053</v>
      </c>
      <c r="O77" s="193">
        <f t="shared" si="20"/>
        <v>2961150.4845719668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10.630530239613362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11.760275645091257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10.630530239613362</v>
      </c>
      <c r="U77" s="189">
        <f>O77*IFERROR(VLOOKUP(A77,[1]Tørstofindhold!A$2:B$24,2,FALSE),0)</f>
        <v>888345.14537159004</v>
      </c>
      <c r="V77" s="190">
        <f>IF(D77=År1,P77,SUM(O77,P77))*IFERROR(VLOOKUP(A77,[1]Tørstofindhold!A$2:B$24,2,FALSE),0)</f>
        <v>982752.83942266752</v>
      </c>
      <c r="W77" s="190">
        <f>J77*IFERROR(VLOOKUP(A77,[1]Tørstofindhold!A$2:B$24,2,FALSE),0)</f>
        <v>94407.694051077502</v>
      </c>
      <c r="X77" s="191">
        <f t="shared" si="12"/>
        <v>888345.14537159004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2502141.5052936058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2029734.6292751078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84934.510833187902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24906.257794285637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1</v>
      </c>
      <c r="Z80" s="103">
        <f t="shared" si="22"/>
        <v>0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3896345.2282942934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3896345.2282942934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171279.2848730098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82616.067703844164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672934.09412450308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-281910.65780216159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152898.46172507474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152898.46172507474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103754.66217102103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31532.588010093863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72222.074160927164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3949558.8398278607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1497865.6247316466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2451693.2150962139</v>
      </c>
      <c r="O92" s="193">
        <f t="shared" si="20"/>
        <v>2451693.2150962139</v>
      </c>
      <c r="P92" s="203">
        <f t="shared" si="24"/>
        <v>1497865.6247316466</v>
      </c>
      <c r="Q92" s="190">
        <f>IFERROR(VLOOKUP(A92,[1]Energiindhold!$A$2:$C$11,3,FALSE),IFERROR(VLOOKUP(A92,[1]Biogasudbytte!$A$2:$B$18,2,FALSE)*[1]Energiindhold!$C$10,0))*O92</f>
        <v>1.2234194312651618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1.9708693566625008</v>
      </c>
      <c r="S92" s="190">
        <f>IFERROR(VLOOKUP(A92,[1]Biogasudbytte!$A$2:$B$18,2,FALSE)*[1]Energiindhold!$C$10,0)*J92*IFERROR(VLOOKUP(A92,Biogasanlæg!$F$3:$G$8,2,FALSE),1)</f>
        <v>0.74744992539733912</v>
      </c>
      <c r="T92" s="191">
        <f t="shared" si="25"/>
        <v>1.2234194312651616</v>
      </c>
      <c r="U92" s="189">
        <f>O92*IFERROR(VLOOKUP(A92,[1]Tørstofindhold!A$2:B$24,2,FALSE),0)</f>
        <v>147101.59290577282</v>
      </c>
      <c r="V92" s="190">
        <f>IF(D92=År1,P92,SUM(O92,P92))*IFERROR(VLOOKUP(A92,[1]Tørstofindhold!A$2:B$24,2,FALSE),0)</f>
        <v>236973.53038967162</v>
      </c>
      <c r="W92" s="190">
        <f>J92*IFERROR(VLOOKUP(A92,[1]Tørstofindhold!A$2:B$24,2,FALSE),0)</f>
        <v>89871.937483898801</v>
      </c>
      <c r="X92" s="191">
        <f t="shared" si="26"/>
        <v>147101.59290577282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12059866.540704856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6391729.2665735735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5668137.2741312822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6391729.2665735735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2.7535569680398959</v>
      </c>
      <c r="S93" s="190">
        <f>IFERROR(VLOOKUP(A93,[1]Biogasudbytte!$A$2:$B$18,2,FALSE)*[1]Energiindhold!$C$10,0)*J93*IFERROR(VLOOKUP(A93,Biogasanlæg!$F$3:$G$8,2,FALSE),1)</f>
        <v>2.7535569680398959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319586.46332867868</v>
      </c>
      <c r="W93" s="190">
        <f>J93*IFERROR(VLOOKUP(A93,[1]Tørstofindhold!A$2:B$24,2,FALSE),0)</f>
        <v>319586.46332867868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1102410.4206254377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980534.87657675741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166578.5911943354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132728.62230789059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51598.780380153592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208864.25233337711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0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 t="e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 t="e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 ca="1"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2" t="e">
        <f t="shared" ca="1" si="23"/>
        <v>#REF!</v>
      </c>
      <c r="O101" s="193" t="e">
        <f t="shared" ca="1" si="20"/>
        <v>#REF!</v>
      </c>
      <c r="P101" s="203" t="e">
        <f t="shared" ca="1" si="24"/>
        <v>#REF!</v>
      </c>
      <c r="Q101" s="190" t="e">
        <f ca="1">IFERROR(VLOOKUP(A101,[1]Energiindhold!$A$2:$C$11,3,FALSE),IFERROR(VLOOKUP(A101,[1]Biogasudbytte!$A$2:$B$18,2,FALSE)*[1]Energiindhold!$C$10,0))*O101</f>
        <v>#REF!</v>
      </c>
      <c r="R101" s="190" t="e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0" t="e">
        <f ca="1">IFERROR(VLOOKUP(A101,[1]Biogasudbytte!$A$2:$B$18,2,FALSE)*[1]Energiindhold!$C$10,0)*J101*IFERROR(VLOOKUP(A101,Biogasanlæg!$F$3:$G$8,2,FALSE),1)</f>
        <v>#REF!</v>
      </c>
      <c r="T101" s="191" t="e">
        <f t="shared" ca="1" si="25"/>
        <v>#REF!</v>
      </c>
      <c r="U101" s="189" t="e">
        <f ca="1">O101*IFERROR(VLOOKUP(A101,[1]Tørstofindhold!A$2:B$24,2,FALSE),0)</f>
        <v>#REF!</v>
      </c>
      <c r="V101" s="190" t="e">
        <f ca="1">IF(D101=År1,P101,SUM(O101,P101))*IFERROR(VLOOKUP(A101,[1]Tørstofindhold!A$2:B$24,2,FALSE),0)</f>
        <v>#REF!</v>
      </c>
      <c r="W101" s="190" t="e">
        <f ca="1">J101*IFERROR(VLOOKUP(A101,[1]Tørstofindhold!A$2:B$24,2,FALSE),0)</f>
        <v>#REF!</v>
      </c>
      <c r="X101" s="191" t="e">
        <f t="shared" ca="1" si="26"/>
        <v>#REF!</v>
      </c>
      <c r="Y101" s="171" t="e">
        <f t="shared" ca="1" si="21"/>
        <v>#REF!</v>
      </c>
      <c r="Z101" s="103" t="e">
        <f t="shared" ca="1" si="22"/>
        <v>#REF!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415563995.10252494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415563995.10252494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415563995.10252494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0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 t="e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 t="e">
        <f t="shared" ca="1" si="23"/>
        <v>#REF!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 t="e">
        <f t="shared" ca="1" si="21"/>
        <v>#REF!</v>
      </c>
      <c r="Z103" s="103" t="e">
        <f t="shared" ca="1" si="22"/>
        <v>#REF!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2222382.1821508599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1111191.0910754299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420665.19876426988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690525.89231115999</v>
      </c>
      <c r="O105" s="193">
        <f t="shared" si="20"/>
        <v>690525.89231115999</v>
      </c>
      <c r="P105" s="203">
        <f t="shared" si="24"/>
        <v>1111191.0910754299</v>
      </c>
      <c r="Q105" s="190">
        <f>IFERROR(VLOOKUP(A105,[1]Energiindhold!$A$2:$C$11,3,FALSE),IFERROR(VLOOKUP(A105,[1]Biogasudbytte!$A$2:$B$18,2,FALSE)*[1]Energiindhold!$C$10,0))*O105</f>
        <v>1.4873927720382387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3.8808983822147152</v>
      </c>
      <c r="S105" s="190">
        <f>IFERROR(VLOOKUP(A105,[1]Biogasudbytte!$A$2:$B$18,2,FALSE)*[1]Energiindhold!$C$10,0)*J105*IFERROR(VLOOKUP(A105,Biogasanlæg!$F$3:$G$8,2,FALSE),1)</f>
        <v>2.3935056101764762</v>
      </c>
      <c r="T105" s="191">
        <f t="shared" si="25"/>
        <v>1.4873927720382389</v>
      </c>
      <c r="U105" s="189">
        <f>O105*IFERROR(VLOOKUP(A105,[1]Tørstofindhold!A$2:B$24,2,FALSE),0)</f>
        <v>207157.767693348</v>
      </c>
      <c r="V105" s="190">
        <f>IF(D105=År1,P105,SUM(O105,P105))*IFERROR(VLOOKUP(A105,[1]Tørstofindhold!A$2:B$24,2,FALSE),0)</f>
        <v>540515.09501597693</v>
      </c>
      <c r="W105" s="190">
        <f>J105*IFERROR(VLOOKUP(A105,[1]Tørstofindhold!A$2:B$24,2,FALSE),0)</f>
        <v>333357.32732262899</v>
      </c>
      <c r="X105" s="191">
        <f t="shared" si="26"/>
        <v>207157.76769334794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6892.4253779859373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3446.2126889929687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3446.2126889929687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3446.2126889929687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1.6207193655065032E-3</v>
      </c>
      <c r="S107" s="190">
        <f>IFERROR(VLOOKUP(A107,[1]Biogasudbytte!$A$2:$B$18,2,FALSE)*[1]Energiindhold!$C$10,0)*J107*IFERROR(VLOOKUP(A107,Biogasanlæg!$F$3:$G$8,2,FALSE),1)</f>
        <v>1.6207193655065032E-3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217.11139940655701</v>
      </c>
      <c r="W107" s="190">
        <f>J107*IFERROR(VLOOKUP(A107,[1]Tørstofindhold!A$2:B$24,2,FALSE),0)</f>
        <v>217.11139940655701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138927.00099994309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102256.20137296121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9790151.9274066389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6234320.5706386827</v>
      </c>
      <c r="O112" s="193">
        <f t="shared" si="20"/>
        <v>6234320.5706386827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11.470370559903847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11.609330897790654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11.470370559903847</v>
      </c>
      <c r="U112" s="189">
        <f>O112*IFERROR(VLOOKUP(A112,[1]Tørstofindhold!A$2:B$24,2,FALSE),0)</f>
        <v>1745609.7597788314</v>
      </c>
      <c r="V112" s="190">
        <f>IF(D112=År1,P112,SUM(O112,P112))*IFERROR(VLOOKUP(A112,[1]Tørstofindhold!A$2:B$24,2,FALSE),0)</f>
        <v>1766757.3348088232</v>
      </c>
      <c r="W112" s="190">
        <f>J112*IFERROR(VLOOKUP(A112,[1]Tørstofindhold!A$2:B$24,2,FALSE),0)</f>
        <v>21147.575029991774</v>
      </c>
      <c r="X112" s="191">
        <f t="shared" si="26"/>
        <v>1745609.7597788314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618468.71483434096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579210.80448009283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53363.755309158871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1303036.156330572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1356399.9116397309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13.775600230507971</v>
      </c>
      <c r="S115" s="190">
        <f>IFERROR(VLOOKUP(A115,[1]Biogasudbytte!$A$2:$B$18,2,FALSE)*[1]Energiindhold!$C$10,0)*J115*IFERROR(VLOOKUP(A115,Biogasanlæg!$F$3:$G$8,2,FALSE),1)</f>
        <v>0.30767086578516784</v>
      </c>
      <c r="T115" s="191">
        <f t="shared" si="25"/>
        <v>13.467929364722803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1152939.9248937713</v>
      </c>
      <c r="W115" s="190">
        <f>J115*IFERROR(VLOOKUP(A115,[1]Tørstofindhold!A$2:B$24,2,FALSE),0)</f>
        <v>45359.192012785039</v>
      </c>
      <c r="X115" s="191">
        <f t="shared" si="26"/>
        <v>1107580.7328809863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3862742.0312364982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-3862742.0312364982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453678.05576738477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505095.54922592157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-51417.493458536803</v>
      </c>
      <c r="O118" s="193">
        <f t="shared" si="20"/>
        <v>0</v>
      </c>
      <c r="P118" s="203">
        <f t="shared" si="24"/>
        <v>505095.54922592157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1.8603479756347201</v>
      </c>
      <c r="S118" s="190">
        <f>IFERROR(VLOOKUP(A118,[1]Biogasudbytte!$A$2:$B$18,2,FALSE)*[1]Energiindhold!$C$10,0)*J118*IFERROR(VLOOKUP(A118,Biogasanlæg!$F$3:$G$8,2,FALSE),1)</f>
        <v>1.8603479756347201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212140.13067488704</v>
      </c>
      <c r="W118" s="190">
        <f>J118*IFERROR(VLOOKUP(A118,[1]Tørstofindhold!A$2:B$24,2,FALSE),0)</f>
        <v>212140.13067488704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4703372.1615964994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1931921.2106545279</v>
      </c>
      <c r="O121" s="193">
        <f t="shared" si="20"/>
        <v>1931921.2106545279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6.6165596775222673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6.6262374962907611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6.6165596775222673</v>
      </c>
      <c r="U121" s="189">
        <f>O121*IFERROR(VLOOKUP(A121,[1]Tørstofindhold!A$2:B$24,2,FALSE),0)</f>
        <v>598895.57530290366</v>
      </c>
      <c r="V121" s="190">
        <f>IF(D121=År1,P121,SUM(O121,P121))*IFERROR(VLOOKUP(A121,[1]Tørstofindhold!A$2:B$24,2,FALSE),0)</f>
        <v>599771.55966963188</v>
      </c>
      <c r="W121" s="190">
        <f>J121*IFERROR(VLOOKUP(A121,[1]Tørstofindhold!A$2:B$24,2,FALSE),0)</f>
        <v>875.9843667282845</v>
      </c>
      <c r="X121" s="191">
        <f t="shared" si="26"/>
        <v>598895.57530290354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 t="e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 t="e">
        <f t="shared" ca="1" si="23"/>
        <v>#REF!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 t="e">
        <f t="shared" ca="1" si="21"/>
        <v>#REF!</v>
      </c>
      <c r="Z122" s="103" t="e">
        <f t="shared" ca="1" si="22"/>
        <v>#REF!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10188325.202039858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7743127.1535502924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2445198.048489566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7743127.1535502924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3.9194935338556229</v>
      </c>
      <c r="S123" s="190">
        <f>IFERROR(VLOOKUP(A123,[1]Biogasudbytte!$A$2:$B$18,2,FALSE)*[1]Energiindhold!$C$10,0)*J123*IFERROR(VLOOKUP(A123,Biogasanlæg!$F$3:$G$8,2,FALSE),1)</f>
        <v>3.9194935338556229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588477.66366982216</v>
      </c>
      <c r="W123" s="190">
        <f>J123*IFERROR(VLOOKUP(A123,[1]Tørstofindhold!A$2:B$24,2,FALSE),0)</f>
        <v>588477.66366982216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1272706.7760624508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1212571.3389336092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60135.437128841644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4525643.0291759707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2946382.2533553997</v>
      </c>
      <c r="O125" s="193">
        <f t="shared" si="20"/>
        <v>2759146.6428546174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9.905336447848077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11.034481645088372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9.905336447848077</v>
      </c>
      <c r="U125" s="189">
        <f>O125*IFERROR(VLOOKUP(A125,[1]Tørstofindhold!A$2:B$24,2,FALSE),0)</f>
        <v>827743.99285638519</v>
      </c>
      <c r="V125" s="190">
        <f>IF(D125=År1,P125,SUM(O125,P125))*IFERROR(VLOOKUP(A125,[1]Tørstofindhold!A$2:B$24,2,FALSE),0)</f>
        <v>922101.530230226</v>
      </c>
      <c r="W125" s="190">
        <f>J125*IFERROR(VLOOKUP(A125,[1]Tørstofindhold!A$2:B$24,2,FALSE),0)</f>
        <v>94357.537373840722</v>
      </c>
      <c r="X125" s="191">
        <f t="shared" si="26"/>
        <v>827743.9928563853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2455663.5565474145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1964839.0076939645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82230.492590145455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19861.924916870877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3823969.5719075543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3823969.5719075543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171279.2848730098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73240.693697966664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672934.09412450308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-296257.42264590901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148453.72937457461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148453.72937457461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100880.19861397019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31532.588010093863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69347.610603876325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4097932.7879593684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1554136.2730559006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2543796.5149034681</v>
      </c>
      <c r="O140" s="193">
        <f t="shared" si="39"/>
        <v>2543796.5149034681</v>
      </c>
      <c r="P140" s="203">
        <f t="shared" si="24"/>
        <v>1554136.2730559006</v>
      </c>
      <c r="Q140" s="190">
        <f>IFERROR(VLOOKUP(A140,[1]Energiindhold!$A$2:$C$11,3,FALSE),IFERROR(VLOOKUP(A140,[1]Biogasudbytte!$A$2:$B$18,2,FALSE)*[1]Energiindhold!$C$10,0))*O140</f>
        <v>1.2693798989019798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2.0449094405196049</v>
      </c>
      <c r="S140" s="190">
        <f>IFERROR(VLOOKUP(A140,[1]Biogasudbytte!$A$2:$B$18,2,FALSE)*[1]Energiindhold!$C$10,0)*J140*IFERROR(VLOOKUP(A140,Biogasanlæg!$F$3:$G$8,2,FALSE),1)</f>
        <v>0.77552954161762511</v>
      </c>
      <c r="T140" s="191">
        <f t="shared" si="25"/>
        <v>1.2693798989019798</v>
      </c>
      <c r="U140" s="189">
        <f>O140*IFERROR(VLOOKUP(A140,[1]Tørstofindhold!A$2:B$24,2,FALSE),0)</f>
        <v>152627.79089420807</v>
      </c>
      <c r="V140" s="190">
        <f>IF(D140=År1,P140,SUM(O140,P140))*IFERROR(VLOOKUP(A140,[1]Tørstofindhold!A$2:B$24,2,FALSE),0)</f>
        <v>245875.96727756213</v>
      </c>
      <c r="W140" s="190">
        <f>J140*IFERROR(VLOOKUP(A140,[1]Tørstofindhold!A$2:B$24,2,FALSE),0)</f>
        <v>93248.176383354032</v>
      </c>
      <c r="X140" s="191">
        <f t="shared" si="26"/>
        <v>152627.7908942081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11545833.414063649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6119291.7094537346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5426541.7046099147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6119291.7094537346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2.6361908684326694</v>
      </c>
      <c r="S141" s="190">
        <f>IFERROR(VLOOKUP(A141,[1]Biogasudbytte!$A$2:$B$18,2,FALSE)*[1]Energiindhold!$C$10,0)*J141*IFERROR(VLOOKUP(A141,Biogasanlæg!$F$3:$G$8,2,FALSE),1)</f>
        <v>2.6361908684326694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305964.58547268674</v>
      </c>
      <c r="W141" s="190">
        <f>J141*IFERROR(VLOOKUP(A141,[1]Tørstofindhold!A$2:B$24,2,FALSE),0)</f>
        <v>305964.58547268674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1072120.6999068451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945493.60796413617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2001216.64646261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29.004771350884361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989768.39972963254</v>
      </c>
      <c r="W145" s="190">
        <f>J145*IFERROR(VLOOKUP(A145,[1]Tørstofindhold!A$2:B$24,2,FALSE),0)</f>
        <v>0</v>
      </c>
      <c r="X145" s="191">
        <f t="shared" si="26"/>
        <v>989768.39972963254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0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 t="e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 t="e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 ca="1"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2" t="e">
        <f t="shared" ca="1" si="23"/>
        <v>#REF!</v>
      </c>
      <c r="O149" s="193" t="e">
        <f t="shared" ca="1" si="39"/>
        <v>#REF!</v>
      </c>
      <c r="P149" s="203" t="e">
        <f t="shared" ca="1" si="24"/>
        <v>#REF!</v>
      </c>
      <c r="Q149" s="190" t="e">
        <f ca="1">IFERROR(VLOOKUP(A149,[1]Energiindhold!$A$2:$C$11,3,FALSE),IFERROR(VLOOKUP(A149,[1]Biogasudbytte!$A$2:$B$18,2,FALSE)*[1]Energiindhold!$C$10,0))*O149</f>
        <v>#REF!</v>
      </c>
      <c r="R149" s="190" t="e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0" t="e">
        <f ca="1">IFERROR(VLOOKUP(A149,[1]Biogasudbytte!$A$2:$B$18,2,FALSE)*[1]Energiindhold!$C$10,0)*J149*IFERROR(VLOOKUP(A149,Biogasanlæg!$F$3:$G$8,2,FALSE),1)</f>
        <v>#REF!</v>
      </c>
      <c r="T149" s="191" t="e">
        <f t="shared" ca="1" si="25"/>
        <v>#REF!</v>
      </c>
      <c r="U149" s="189" t="e">
        <f ca="1">O149*IFERROR(VLOOKUP(A149,[1]Tørstofindhold!A$2:B$24,2,FALSE),0)</f>
        <v>#REF!</v>
      </c>
      <c r="V149" s="190" t="e">
        <f ca="1">IF(D149=År1,P149,SUM(O149,P149))*IFERROR(VLOOKUP(A149,[1]Tørstofindhold!A$2:B$24,2,FALSE),0)</f>
        <v>#REF!</v>
      </c>
      <c r="W149" s="190" t="e">
        <f ca="1">J149*IFERROR(VLOOKUP(A149,[1]Tørstofindhold!A$2:B$24,2,FALSE),0)</f>
        <v>#REF!</v>
      </c>
      <c r="X149" s="191" t="e">
        <f t="shared" ca="1" si="26"/>
        <v>#REF!</v>
      </c>
      <c r="Y149" s="171" t="e">
        <f t="shared" ca="1" si="43"/>
        <v>#REF!</v>
      </c>
      <c r="Z149" s="103" t="e">
        <f t="shared" ca="1" si="44"/>
        <v>#REF!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78969506.49395892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78969506.49395892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78969506.49395892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0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 t="e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 t="e">
        <f t="shared" ca="1" si="48"/>
        <v>#REF!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 t="e">
        <f t="shared" ca="1" si="43"/>
        <v>#REF!</v>
      </c>
      <c r="Z151" s="103" t="e">
        <f t="shared" ca="1" si="44"/>
        <v>#REF!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 t="e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 t="e">
        <f t="shared" ca="1" si="48"/>
        <v>#REF!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 t="e">
        <f t="shared" ca="1" si="43"/>
        <v>#REF!</v>
      </c>
      <c r="Z170" s="103" t="e">
        <f t="shared" ca="1" si="44"/>
        <v>#REF!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313</v>
      </c>
      <c r="B179" s="192" t="s">
        <v>319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314</v>
      </c>
      <c r="B180" s="192" t="s">
        <v>319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14354.783550318367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-13854.556574310172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6333.2934029920762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22219.132039015061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0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 t="e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 t="e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 ca="1"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2" t="e">
        <f t="shared" ca="1" si="48"/>
        <v>#REF!</v>
      </c>
      <c r="O197" s="193" t="e">
        <f t="shared" ca="1" si="59"/>
        <v>#REF!</v>
      </c>
      <c r="P197" s="203" t="e">
        <f t="shared" ca="1" si="49"/>
        <v>#REF!</v>
      </c>
      <c r="Q197" s="190" t="e">
        <f ca="1">IFERROR(VLOOKUP(A197,[1]Energiindhold!$A$2:$C$11,3,FALSE),IFERROR(VLOOKUP(A197,[1]Biogasudbytte!$A$2:$B$18,2,FALSE)*[1]Energiindhold!$C$10,0))*O197</f>
        <v>#REF!</v>
      </c>
      <c r="R197" s="190" t="e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0" t="e">
        <f ca="1">IFERROR(VLOOKUP(A197,[1]Biogasudbytte!$A$2:$B$18,2,FALSE)*[1]Energiindhold!$C$10,0)*J197*IFERROR(VLOOKUP(A197,Biogasanlæg!$F$3:$G$8,2,FALSE),1)</f>
        <v>#REF!</v>
      </c>
      <c r="T197" s="191" t="e">
        <f t="shared" ca="1" si="50"/>
        <v>#REF!</v>
      </c>
      <c r="U197" s="189" t="e">
        <f ca="1">O197*IFERROR(VLOOKUP(A197,[1]Tørstofindhold!A$2:B$24,2,FALSE),0)</f>
        <v>#REF!</v>
      </c>
      <c r="V197" s="190" t="e">
        <f ca="1">IF(D197=År1,P197,SUM(O197,P197))*IFERROR(VLOOKUP(A197,[1]Tørstofindhold!A$2:B$24,2,FALSE),0)</f>
        <v>#REF!</v>
      </c>
      <c r="W197" s="190" t="e">
        <f ca="1">J197*IFERROR(VLOOKUP(A197,[1]Tørstofindhold!A$2:B$24,2,FALSE),0)</f>
        <v>#REF!</v>
      </c>
      <c r="X197" s="191" t="e">
        <f t="shared" ca="1" si="51"/>
        <v>#REF!</v>
      </c>
      <c r="Y197" s="171" t="e">
        <f t="shared" ca="1" si="60"/>
        <v>#REF!</v>
      </c>
      <c r="Z197" s="103" t="e">
        <f t="shared" ca="1" si="61"/>
        <v>#REF!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87220882.943218827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87220882.943218827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87220882.943218827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0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 t="e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 t="e">
        <f t="shared" ca="1" si="48"/>
        <v>#REF!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 t="e">
        <f t="shared" ca="1" si="60"/>
        <v>#REF!</v>
      </c>
      <c r="Z199" s="103" t="e">
        <f t="shared" ca="1" si="61"/>
        <v>#REF!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286444.08767374518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143222.04383687259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54219.773738244621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89002.270098627952</v>
      </c>
      <c r="O201" s="193">
        <f t="shared" si="59"/>
        <v>89002.270098627952</v>
      </c>
      <c r="P201" s="203">
        <f t="shared" si="49"/>
        <v>143222.04383687259</v>
      </c>
      <c r="Q201" s="190">
        <f>IFERROR(VLOOKUP(A201,[1]Energiindhold!$A$2:$C$11,3,FALSE),IFERROR(VLOOKUP(A201,[1]Biogasudbytte!$A$2:$B$18,2,FALSE)*[1]Energiindhold!$C$10,0))*O201</f>
        <v>0.19171088979244461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0.50021117221706812</v>
      </c>
      <c r="S201" s="190">
        <f>IFERROR(VLOOKUP(A201,[1]Biogasudbytte!$A$2:$B$18,2,FALSE)*[1]Energiindhold!$C$10,0)*J201*IFERROR(VLOOKUP(A201,Biogasanlæg!$F$3:$G$8,2,FALSE),1)</f>
        <v>0.30850028242462357</v>
      </c>
      <c r="T201" s="191">
        <f t="shared" si="50"/>
        <v>0.19171088979244455</v>
      </c>
      <c r="U201" s="189">
        <f>O201*IFERROR(VLOOKUP(A201,[1]Tørstofindhold!A$2:B$24,2,FALSE),0)</f>
        <v>26700.681029588384</v>
      </c>
      <c r="V201" s="190">
        <f>IF(D201=År1,P201,SUM(O201,P201))*IFERROR(VLOOKUP(A201,[1]Tørstofindhold!A$2:B$24,2,FALSE),0)</f>
        <v>69667.294180650162</v>
      </c>
      <c r="W201" s="190">
        <f>J201*IFERROR(VLOOKUP(A201,[1]Tørstofindhold!A$2:B$24,2,FALSE),0)</f>
        <v>42966.613151061778</v>
      </c>
      <c r="X201" s="191">
        <f t="shared" si="51"/>
        <v>26700.681029588384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560.16154012228367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280.08077006114183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280.08077006114183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280.08077006114183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1.317191853520544E-4</v>
      </c>
      <c r="S203" s="190">
        <f>IFERROR(VLOOKUP(A203,[1]Biogasudbytte!$A$2:$B$18,2,FALSE)*[1]Energiindhold!$C$10,0)*J203*IFERROR(VLOOKUP(A203,Biogasanlæg!$F$3:$G$8,2,FALSE),1)</f>
        <v>1.317191853520544E-4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17.645088513851935</v>
      </c>
      <c r="W203" s="190">
        <f>J203*IFERROR(VLOOKUP(A203,[1]Tørstofindhold!A$2:B$24,2,FALSE),0)</f>
        <v>17.645088513851935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12195.236527675561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-18364.881940672021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1201654.4608093714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979275.23027812573</v>
      </c>
      <c r="O208" s="193">
        <f t="shared" si="59"/>
        <v>979275.23027812573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1.8017440143079666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1.820258566846424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1.8017440143079666</v>
      </c>
      <c r="U208" s="189">
        <f>O208*IFERROR(VLOOKUP(A208,[1]Tørstofindhold!A$2:B$24,2,FALSE),0)</f>
        <v>274197.06447787525</v>
      </c>
      <c r="V208" s="190">
        <f>IF(D208=År1,P208,SUM(O208,P208))*IFERROR(VLOOKUP(A208,[1]Tørstofindhold!A$2:B$24,2,FALSE),0)</f>
        <v>277014.68780052924</v>
      </c>
      <c r="W208" s="190">
        <f>J208*IFERROR(VLOOKUP(A208,[1]Tørstofindhold!A$2:B$24,2,FALSE),0)</f>
        <v>2817.623322654033</v>
      </c>
      <c r="X208" s="191">
        <f t="shared" si="51"/>
        <v>274197.06447787519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75911.558427530035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82816.687681498166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22289.419693838598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756737.32303016982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779026.74272400839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7.9500009612564133</v>
      </c>
      <c r="S211" s="190">
        <f>IFERROR(VLOOKUP(A211,[1]Biogasudbytte!$A$2:$B$18,2,FALSE)*[1]Energiindhold!$C$10,0)*J211*IFERROR(VLOOKUP(A211,Biogasanlæg!$F$3:$G$8,2,FALSE),1)</f>
        <v>0.1285105408216142</v>
      </c>
      <c r="T211" s="191">
        <f t="shared" si="50"/>
        <v>7.8214904204347988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662172.73131540709</v>
      </c>
      <c r="W211" s="190">
        <f>J211*IFERROR(VLOOKUP(A211,[1]Tørstofindhold!A$2:B$24,2,FALSE),0)</f>
        <v>18946.006739762808</v>
      </c>
      <c r="X211" s="191">
        <f t="shared" si="51"/>
        <v>643226.72457564424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474117.38114065683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-474117.38114065683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195278.17736560528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217506.01855496093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-22227.841189355648</v>
      </c>
      <c r="O214" s="193">
        <f t="shared" si="59"/>
        <v>0</v>
      </c>
      <c r="P214" s="203">
        <f t="shared" si="49"/>
        <v>217506.01855496093</v>
      </c>
      <c r="Q214" s="190">
        <f>IFERROR(VLOOKUP(A214,[1]Energiindhold!$A$2:$C$11,3,FALSE),IFERROR(VLOOKUP(A214,[1]Biogasudbytte!$A$2:$B$18,2,FALSE)*[1]Energiindhold!$C$10,0))*O214</f>
        <v>0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0.80110957605389932</v>
      </c>
      <c r="S214" s="190">
        <f>IFERROR(VLOOKUP(A214,[1]Biogasudbytte!$A$2:$B$18,2,FALSE)*[1]Energiindhold!$C$10,0)*J214*IFERROR(VLOOKUP(A214,Biogasanlæg!$F$3:$G$8,2,FALSE),1)</f>
        <v>0.80110957605389932</v>
      </c>
      <c r="T214" s="191">
        <f t="shared" si="50"/>
        <v>0</v>
      </c>
      <c r="U214" s="189">
        <f>O214*IFERROR(VLOOKUP(A214,[1]Tørstofindhold!A$2:B$24,2,FALSE),0)</f>
        <v>0</v>
      </c>
      <c r="V214" s="190">
        <f>IF(D214=År1,P214,SUM(O214,P214))*IFERROR(VLOOKUP(A214,[1]Tørstofindhold!A$2:B$24,2,FALSE),0)</f>
        <v>91352.527793083587</v>
      </c>
      <c r="W214" s="190">
        <f>J214*IFERROR(VLOOKUP(A214,[1]Tørstofindhold!A$2:B$24,2,FALSE),0)</f>
        <v>91352.527793083587</v>
      </c>
      <c r="X214" s="191">
        <f t="shared" si="51"/>
        <v>0</v>
      </c>
      <c r="Y214" s="171">
        <f t="shared" si="60"/>
        <v>1</v>
      </c>
      <c r="Z214" s="103">
        <f t="shared" si="61"/>
        <v>0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577297.28616440261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1574682.9124116749</v>
      </c>
      <c r="O217" s="193">
        <f t="shared" si="59"/>
        <v>1574682.9124116749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5.3930685194022496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5.3963292143214572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5.3930685194022496</v>
      </c>
      <c r="U217" s="189">
        <f>O217*IFERROR(VLOOKUP(A217,[1]Tørstofindhold!A$2:B$24,2,FALSE),0)</f>
        <v>488151.70284761919</v>
      </c>
      <c r="V217" s="190">
        <f>IF(D217=År1,P217,SUM(O217,P217))*IFERROR(VLOOKUP(A217,[1]Tørstofindhold!A$2:B$24,2,FALSE),0)</f>
        <v>488446.84350299038</v>
      </c>
      <c r="W217" s="190">
        <f>J217*IFERROR(VLOOKUP(A217,[1]Tørstofindhold!A$2:B$24,2,FALSE),0)</f>
        <v>295.14065537113913</v>
      </c>
      <c r="X217" s="191">
        <f t="shared" si="65"/>
        <v>488151.70284761925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 t="e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 t="e">
        <f t="shared" ca="1" si="62"/>
        <v>#REF!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 t="e">
        <f t="shared" ca="1" si="60"/>
        <v>#REF!</v>
      </c>
      <c r="Z218" s="103" t="e">
        <f t="shared" ca="1" si="61"/>
        <v>#REF!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738231.33813296724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561055.81698105508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177175.52115191214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561055.81698105508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0.28400084399764031</v>
      </c>
      <c r="S219" s="190">
        <f>IFERROR(VLOOKUP(A219,[1]Biogasudbytte!$A$2:$B$18,2,FALSE)*[1]Energiindhold!$C$10,0)*J219*IFERROR(VLOOKUP(A219,Biogasanlæg!$F$3:$G$8,2,FALSE),1)</f>
        <v>0.28400084399764031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42640.242090560183</v>
      </c>
      <c r="W219" s="190">
        <f>J219*IFERROR(VLOOKUP(A219,[1]Tørstofindhold!A$2:B$24,2,FALSE),0)</f>
        <v>42640.242090560183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92168.427114874314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148832.39497031379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-56663.967855439478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555482.60888742993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-181821.92523813841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177837.22990030446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-231198.20190680941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6036.6362564051497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-45939.072923222928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1</v>
      </c>
      <c r="Z224" s="103">
        <f t="shared" si="61"/>
        <v>0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276928.87898992695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276928.87898992695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21023.015601598698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81180.880041585086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82596.701464021666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2274572.6185528086</v>
      </c>
      <c r="O233" s="193">
        <f t="shared" si="59"/>
        <v>1992661.9607506471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5.4081642679556863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5.4748462745210507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5.4081642679556863</v>
      </c>
      <c r="U233" s="189">
        <f>O233*IFERROR(VLOOKUP(A233,[1]Tørstofindhold!A$2:B$24,2,FALSE),0)</f>
        <v>398532.39215012942</v>
      </c>
      <c r="V233" s="190">
        <f>IF(D233=År1,P233,SUM(O233,P233))*IFERROR(VLOOKUP(A233,[1]Tørstofindhold!A$2:B$24,2,FALSE),0)</f>
        <v>403446.24799347471</v>
      </c>
      <c r="W233" s="190">
        <f>J233*IFERROR(VLOOKUP(A233,[1]Tørstofindhold!A$2:B$24,2,FALSE),0)</f>
        <v>4913.8558433452836</v>
      </c>
      <c r="X233" s="191">
        <f t="shared" si="65"/>
        <v>398532.39215012942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18028.658633856463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18028.658633856463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14632.341003448482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3870.3459684951581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10761.995034953325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3342323.2852705466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1267572.2425659813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2074751.0427045652</v>
      </c>
      <c r="O236" s="193">
        <f t="shared" si="59"/>
        <v>2074751.0427045652</v>
      </c>
      <c r="P236" s="203">
        <f t="shared" si="63"/>
        <v>1267572.2425659813</v>
      </c>
      <c r="Q236" s="190">
        <f>IFERROR(VLOOKUP(A236,[1]Energiindhold!$A$2:$C$11,3,FALSE),IFERROR(VLOOKUP(A236,[1]Biogasudbytte!$A$2:$B$18,2,FALSE)*[1]Energiindhold!$C$10,0))*O236</f>
        <v>1.0353215178200053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1.6678527425828555</v>
      </c>
      <c r="S236" s="190">
        <f>IFERROR(VLOOKUP(A236,[1]Biogasudbytte!$A$2:$B$18,2,FALSE)*[1]Energiindhold!$C$10,0)*J236*IFERROR(VLOOKUP(A236,Biogasanlæg!$F$3:$G$8,2,FALSE),1)</f>
        <v>0.6325312247628504</v>
      </c>
      <c r="T236" s="191">
        <f t="shared" si="64"/>
        <v>1.0353215178200053</v>
      </c>
      <c r="U236" s="189">
        <f>O236*IFERROR(VLOOKUP(A236,[1]Tørstofindhold!A$2:B$24,2,FALSE),0)</f>
        <v>124485.0625622739</v>
      </c>
      <c r="V236" s="190">
        <f>IF(D236=År1,P236,SUM(O236,P236))*IFERROR(VLOOKUP(A236,[1]Tørstofindhold!A$2:B$24,2,FALSE),0)</f>
        <v>200539.39711623278</v>
      </c>
      <c r="W236" s="190">
        <f>J236*IFERROR(VLOOKUP(A236,[1]Tørstofindhold!A$2:B$24,2,FALSE),0)</f>
        <v>76054.334553958877</v>
      </c>
      <c r="X236" s="191">
        <f t="shared" si="65"/>
        <v>124485.0625622739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1747439.8704342765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926143.13133016659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821296.73910410993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926143.13133016659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0.39898246097703582</v>
      </c>
      <c r="S237" s="190">
        <f>IFERROR(VLOOKUP(A237,[1]Biogasudbytte!$A$2:$B$18,2,FALSE)*[1]Energiindhold!$C$10,0)*J237*IFERROR(VLOOKUP(A237,Biogasanlæg!$F$3:$G$8,2,FALSE),1)</f>
        <v>0.39898246097703582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46307.156566508333</v>
      </c>
      <c r="W237" s="190">
        <f>J237*IFERROR(VLOOKUP(A237,[1]Tørstofindhold!A$2:B$24,2,FALSE),0)</f>
        <v>46307.156566508333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159736.08962264023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54209.6497730923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13980.879672720754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-15551.122347381201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6333.293402992078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21513.506854886218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0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 t="e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 t="e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 ca="1"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2" t="e">
        <f t="shared" ca="1" si="62"/>
        <v>#REF!</v>
      </c>
      <c r="O245" s="193" t="e">
        <f t="shared" ca="1" si="59"/>
        <v>#REF!</v>
      </c>
      <c r="P245" s="203" t="e">
        <f t="shared" ca="1" si="63"/>
        <v>#REF!</v>
      </c>
      <c r="Q245" s="190" t="e">
        <f ca="1">IFERROR(VLOOKUP(A245,[1]Energiindhold!$A$2:$C$11,3,FALSE),IFERROR(VLOOKUP(A245,[1]Biogasudbytte!$A$2:$B$18,2,FALSE)*[1]Energiindhold!$C$10,0))*O245</f>
        <v>#REF!</v>
      </c>
      <c r="R245" s="190" t="e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0" t="e">
        <f ca="1">IFERROR(VLOOKUP(A245,[1]Biogasudbytte!$A$2:$B$18,2,FALSE)*[1]Energiindhold!$C$10,0)*J245*IFERROR(VLOOKUP(A245,Biogasanlæg!$F$3:$G$8,2,FALSE),1)</f>
        <v>#REF!</v>
      </c>
      <c r="T245" s="191" t="e">
        <f t="shared" ca="1" si="64"/>
        <v>#REF!</v>
      </c>
      <c r="U245" s="189" t="e">
        <f ca="1">O245*IFERROR(VLOOKUP(A245,[1]Tørstofindhold!A$2:B$24,2,FALSE),0)</f>
        <v>#REF!</v>
      </c>
      <c r="V245" s="190" t="e">
        <f ca="1">IF(D245=År1,P245,SUM(O245,P245))*IFERROR(VLOOKUP(A245,[1]Tørstofindhold!A$2:B$24,2,FALSE),0)</f>
        <v>#REF!</v>
      </c>
      <c r="W245" s="190" t="e">
        <f ca="1">J245*IFERROR(VLOOKUP(A245,[1]Tørstofindhold!A$2:B$24,2,FALSE),0)</f>
        <v>#REF!</v>
      </c>
      <c r="X245" s="191" t="e">
        <f t="shared" ca="1" si="65"/>
        <v>#REF!</v>
      </c>
      <c r="Y245" s="171" t="e">
        <f t="shared" ca="1" si="60"/>
        <v>#REF!</v>
      </c>
      <c r="Z245" s="103" t="e">
        <f t="shared" ca="1" si="61"/>
        <v>#REF!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87990313.567813441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87990313.567813441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87990313.567813441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0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 t="e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 t="e">
        <f t="shared" ca="1" si="62"/>
        <v>#REF!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 t="e">
        <f t="shared" ca="1" si="60"/>
        <v>#REF!</v>
      </c>
      <c r="Z247" s="103" t="e">
        <f t="shared" ca="1" si="61"/>
        <v>#REF!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301646.48561279988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150823.24280639994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57097.370490994261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93725.872315405693</v>
      </c>
      <c r="O249" s="193">
        <f t="shared" si="59"/>
        <v>93725.872315405693</v>
      </c>
      <c r="P249" s="203">
        <f t="shared" si="63"/>
        <v>150823.24280639994</v>
      </c>
      <c r="Q249" s="190">
        <f>IFERROR(VLOOKUP(A249,[1]Energiindhold!$A$2:$C$11,3,FALSE),IFERROR(VLOOKUP(A249,[1]Biogasudbytte!$A$2:$B$18,2,FALSE)*[1]Energiindhold!$C$10,0))*O249</f>
        <v>0.20188552896738388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0.52675879397236935</v>
      </c>
      <c r="S249" s="190">
        <f>IFERROR(VLOOKUP(A249,[1]Biogasudbytte!$A$2:$B$18,2,FALSE)*[1]Energiindhold!$C$10,0)*J249*IFERROR(VLOOKUP(A249,Biogasanlæg!$F$3:$G$8,2,FALSE),1)</f>
        <v>0.32487326500498548</v>
      </c>
      <c r="T249" s="191">
        <f t="shared" si="64"/>
        <v>0.20188552896738388</v>
      </c>
      <c r="U249" s="189">
        <f>O249*IFERROR(VLOOKUP(A249,[1]Tørstofindhold!A$2:B$24,2,FALSE),0)</f>
        <v>28117.761694621706</v>
      </c>
      <c r="V249" s="190">
        <f>IF(D249=År1,P249,SUM(O249,P249))*IFERROR(VLOOKUP(A249,[1]Tørstofindhold!A$2:B$24,2,FALSE),0)</f>
        <v>73364.734536541684</v>
      </c>
      <c r="W249" s="190">
        <f>J249*IFERROR(VLOOKUP(A249,[1]Tørstofindhold!A$2:B$24,2,FALSE),0)</f>
        <v>45246.972841919982</v>
      </c>
      <c r="X249" s="191">
        <f t="shared" si="65"/>
        <v>28117.761694621702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578.47871789484248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289.23935894742124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289.23935894742124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289.23935894742124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1.3602637811938273E-4</v>
      </c>
      <c r="S251" s="190">
        <f>IFERROR(VLOOKUP(A251,[1]Biogasudbytte!$A$2:$B$18,2,FALSE)*[1]Energiindhold!$C$10,0)*J251*IFERROR(VLOOKUP(A251,Biogasanlæg!$F$3:$G$8,2,FALSE),1)</f>
        <v>1.3602637811938273E-4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18.222079613687537</v>
      </c>
      <c r="W251" s="190">
        <f>J251*IFERROR(VLOOKUP(A251,[1]Tørstofindhold!A$2:B$24,2,FALSE),0)</f>
        <v>18.222079613687537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11660.091914249606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-20332.910274194179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1201654.4608093717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951845.8779844488</v>
      </c>
      <c r="O256" s="193">
        <f t="shared" si="59"/>
        <v>951845.8779844488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1.7512774347566378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1.7699520672448303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1.7512774347566378</v>
      </c>
      <c r="U256" s="189">
        <f>O256*IFERROR(VLOOKUP(A256,[1]Tørstofindhold!A$2:B$24,2,FALSE),0)</f>
        <v>266516.84583564568</v>
      </c>
      <c r="V256" s="190">
        <f>IF(D256=År1,P256,SUM(O256,P256))*IFERROR(VLOOKUP(A256,[1]Tørstofindhold!A$2:B$24,2,FALSE),0)</f>
        <v>269358.83080565394</v>
      </c>
      <c r="W256" s="190">
        <f>J256*IFERROR(VLOOKUP(A256,[1]Tørstofindhold!A$2:B$24,2,FALSE),0)</f>
        <v>2841.9849700082286</v>
      </c>
      <c r="X256" s="191">
        <f t="shared" si="65"/>
        <v>266516.84583564568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75911.55842753005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82449.939525946174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22570.244690841144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736790.52495436871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759360.76964520989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7.7454538270123328</v>
      </c>
      <c r="S259" s="190">
        <f>IFERROR(VLOOKUP(A259,[1]Biogasudbytte!$A$2:$B$18,2,FALSE)*[1]Energiindhold!$C$10,0)*J259*IFERROR(VLOOKUP(A259,Biogasanlæg!$F$3:$G$8,2,FALSE),1)</f>
        <v>0.13012964857483225</v>
      </c>
      <c r="T259" s="191">
        <f t="shared" si="64"/>
        <v>7.6153241784375005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645456.65419842838</v>
      </c>
      <c r="W259" s="190">
        <f>J259*IFERROR(VLOOKUP(A259,[1]Tørstofindhold!A$2:B$24,2,FALSE),0)</f>
        <v>19184.707987214973</v>
      </c>
      <c r="X259" s="191">
        <f t="shared" si="65"/>
        <v>626271.94621121336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474117.381140657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-474117.381140657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195751.05229011617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217936.45077407858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-22185.398483962403</v>
      </c>
      <c r="O262" s="193">
        <f t="shared" si="75"/>
        <v>0</v>
      </c>
      <c r="P262" s="203">
        <f t="shared" si="63"/>
        <v>217936.45077407858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0.80269492700128076</v>
      </c>
      <c r="S262" s="190">
        <f>IFERROR(VLOOKUP(A262,[1]Biogasudbytte!$A$2:$B$18,2,FALSE)*[1]Energiindhold!$C$10,0)*J262*IFERROR(VLOOKUP(A262,Biogasanlæg!$F$3:$G$8,2,FALSE),1)</f>
        <v>0.80269492700128076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91533.309325113005</v>
      </c>
      <c r="W262" s="190">
        <f>J262*IFERROR(VLOOKUP(A262,[1]Tørstofindhold!A$2:B$24,2,FALSE),0)</f>
        <v>91533.309325113005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577297.28616440273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1513732.8400958194</v>
      </c>
      <c r="O265" s="193">
        <f t="shared" si="75"/>
        <v>1513732.8400958194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5.1843230547305694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5.1876117559220756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5.1843230547305694</v>
      </c>
      <c r="U265" s="189">
        <f>O265*IFERROR(VLOOKUP(A265,[1]Tørstofindhold!A$2:B$24,2,FALSE),0)</f>
        <v>469257.18042970402</v>
      </c>
      <c r="V265" s="190">
        <f>IF(D265=År1,P265,SUM(O265,P265))*IFERROR(VLOOKUP(A265,[1]Tørstofindhold!A$2:B$24,2,FALSE),0)</f>
        <v>469554.85606297577</v>
      </c>
      <c r="W265" s="190">
        <f>J265*IFERROR(VLOOKUP(A265,[1]Tørstofindhold!A$2:B$24,2,FALSE),0)</f>
        <v>297.67563327171547</v>
      </c>
      <c r="X265" s="191">
        <f t="shared" si="65"/>
        <v>469257.18042970408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 t="e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 t="e">
        <f t="shared" ca="1" si="62"/>
        <v>#REF!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 t="e">
        <f t="shared" ca="1" si="76"/>
        <v>#REF!</v>
      </c>
      <c r="Z266" s="103" t="e">
        <f t="shared" ca="1" si="77"/>
        <v>#REF!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724125.12538599269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550335.09529335448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173790.03009263825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550335.09529335448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0.27857412188654312</v>
      </c>
      <c r="S267" s="190">
        <f>IFERROR(VLOOKUP(A267,[1]Biogasudbytte!$A$2:$B$18,2,FALSE)*[1]Energiindhold!$C$10,0)*J267*IFERROR(VLOOKUP(A267,Biogasanlæg!$F$3:$G$8,2,FALSE),1)</f>
        <v>0.27857412188654312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41825.467242294937</v>
      </c>
      <c r="W267" s="190">
        <f>J267*IFERROR(VLOOKUP(A267,[1]Tørstofindhold!A$2:B$24,2,FALSE),0)</f>
        <v>41825.467242294937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90456.37389070644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148832.39497031382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-58376.021079607381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555482.60888743005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-187235.61050078244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174533.85571503793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-253680.1735764404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5844.4508372651044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-48568.262884772746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271784.85087768652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271784.85087768652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21023.015601598701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78558.573618925613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82596.70146402168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2215420.2193682976</v>
      </c>
      <c r="O281" s="193">
        <f t="shared" si="89"/>
        <v>1919162.7967223886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5.2086845968164317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5.2754796431685431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5.2086845968164317</v>
      </c>
      <c r="U281" s="189">
        <f>O281*IFERROR(VLOOKUP(A281,[1]Tørstofindhold!A$2:B$24,2,FALSE),0)</f>
        <v>383832.55934447772</v>
      </c>
      <c r="V281" s="190">
        <f>IF(D281=År1,P281,SUM(O281,P281))*IFERROR(VLOOKUP(A281,[1]Tørstofindhold!A$2:B$24,2,FALSE),0)</f>
        <v>388754.7451893519</v>
      </c>
      <c r="W281" s="190">
        <f>J281*IFERROR(VLOOKUP(A281,[1]Tørstofindhold!A$2:B$24,2,FALSE),0)</f>
        <v>4922.1858448741459</v>
      </c>
      <c r="X281" s="191">
        <f t="shared" si="65"/>
        <v>383832.55934447778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17515.983585710339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17515.983585710339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14228.619026408833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3870.345968495159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10358.273057913673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3498582.8365199142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1326833.4967577588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2171749.3397621554</v>
      </c>
      <c r="O284" s="193">
        <f t="shared" si="89"/>
        <v>2171749.3397621554</v>
      </c>
      <c r="P284" s="203">
        <f t="shared" si="94"/>
        <v>1326833.4967577588</v>
      </c>
      <c r="Q284" s="190">
        <f>IFERROR(VLOOKUP(A284,[1]Energiindhold!$A$2:$C$11,3,FALSE),IFERROR(VLOOKUP(A284,[1]Biogasudbytte!$A$2:$B$18,2,FALSE)*[1]Energiindhold!$C$10,0))*O284</f>
        <v>1.0837246380347134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1.7458278212518028</v>
      </c>
      <c r="S284" s="190">
        <f>IFERROR(VLOOKUP(A284,[1]Biogasudbytte!$A$2:$B$18,2,FALSE)*[1]Energiindhold!$C$10,0)*J284*IFERROR(VLOOKUP(A284,Biogasanlæg!$F$3:$G$8,2,FALSE),1)</f>
        <v>0.66210318321708928</v>
      </c>
      <c r="T284" s="191">
        <f t="shared" si="95"/>
        <v>1.0837246380347136</v>
      </c>
      <c r="U284" s="189">
        <f>O284*IFERROR(VLOOKUP(A284,[1]Tørstofindhold!A$2:B$24,2,FALSE),0)</f>
        <v>130304.96038572933</v>
      </c>
      <c r="V284" s="190">
        <f>IF(D284=År1,P284,SUM(O284,P284))*IFERROR(VLOOKUP(A284,[1]Tørstofindhold!A$2:B$24,2,FALSE),0)</f>
        <v>209914.97019119485</v>
      </c>
      <c r="W284" s="190">
        <f>J284*IFERROR(VLOOKUP(A284,[1]Tørstofindhold!A$2:B$24,2,FALSE),0)</f>
        <v>79610.009805465525</v>
      </c>
      <c r="X284" s="191">
        <f t="shared" si="96"/>
        <v>130304.96038572933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1672957.9533098161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886667.7152542026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786290.23805561347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886667.7152542026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0.38197645173151057</v>
      </c>
      <c r="S285" s="190">
        <f>IFERROR(VLOOKUP(A285,[1]Biogasudbytte!$A$2:$B$18,2,FALSE)*[1]Energiindhold!$C$10,0)*J285*IFERROR(VLOOKUP(A285,Biogasanlæg!$F$3:$G$8,2,FALSE),1)</f>
        <v>0.38197645173151057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44333.385762710132</v>
      </c>
      <c r="W285" s="190">
        <f>J285*IFERROR(VLOOKUP(A285,[1]Tørstofindhold!A$2:B$24,2,FALSE),0)</f>
        <v>44333.385762710132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155347.1964728414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44872.898915976679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585136.614594521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8.4807178399921028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289398.81730154017</v>
      </c>
      <c r="W289" s="190">
        <f>J289*IFERROR(VLOOKUP(A289,[1]Tørstofindhold!A$2:B$24,2,FALSE),0)</f>
        <v>0</v>
      </c>
      <c r="X289" s="191">
        <f t="shared" si="96"/>
        <v>289398.81730154017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0" t="s">
        <v>23</v>
      </c>
      <c r="B2" s="371"/>
      <c r="C2" s="371"/>
      <c r="D2" s="371"/>
      <c r="E2" s="371"/>
      <c r="F2" s="371"/>
      <c r="G2" s="371"/>
      <c r="H2" s="371"/>
      <c r="I2" s="371"/>
      <c r="J2" s="371"/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6" t="s">
        <v>7</v>
      </c>
      <c r="D3" s="377"/>
      <c r="E3" s="377"/>
      <c r="F3" s="377"/>
      <c r="G3" s="377"/>
      <c r="H3" s="377"/>
      <c r="I3" s="377"/>
      <c r="J3" s="377"/>
      <c r="K3" s="378"/>
      <c r="L3" s="376" t="s">
        <v>8</v>
      </c>
      <c r="M3" s="377"/>
      <c r="N3" s="377"/>
      <c r="O3" s="377"/>
      <c r="P3" s="377"/>
      <c r="Q3" s="377"/>
      <c r="R3" s="377"/>
      <c r="S3" s="377"/>
      <c r="T3" s="378"/>
      <c r="U3" s="71"/>
      <c r="W3" s="31" t="s">
        <v>279</v>
      </c>
      <c r="X3" s="35">
        <f>C24+C51</f>
        <v>11808068</v>
      </c>
      <c r="Y3" s="11">
        <f>D24+D51</f>
        <v>9597731.076909367</v>
      </c>
      <c r="Z3" s="23">
        <f>E24+E51</f>
        <v>9238493.3130771164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1002383.4251010446</v>
      </c>
      <c r="Z4" s="23">
        <f t="shared" si="0"/>
        <v>953433.53878271766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15770289.144075628</v>
      </c>
      <c r="Z5" s="24">
        <f t="shared" si="0"/>
        <v>15029002.18033967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552772.32309063291</v>
      </c>
      <c r="Z6" s="23">
        <f t="shared" si="1"/>
        <v>912010.08692288375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210555.77489895534</v>
      </c>
      <c r="Z7" s="23">
        <f t="shared" si="1"/>
        <v>259505.66121728224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3034725.0559243709</v>
      </c>
      <c r="Z8" s="24">
        <f t="shared" si="1"/>
        <v>3776012.0196603313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6" t="s">
        <v>7</v>
      </c>
      <c r="D22" s="377"/>
      <c r="E22" s="378"/>
      <c r="F22" s="382" t="s">
        <v>8</v>
      </c>
      <c r="G22" s="377"/>
      <c r="H22" s="37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8065001.0864567999</v>
      </c>
      <c r="E24" s="23">
        <f>($F24+$C24)*Landbrug!E11*(1-Landbrug!E6)</f>
        <v>7721242.9104568008</v>
      </c>
      <c r="F24" s="34">
        <f>SUM([1]Dyrehold!E58:G61)</f>
        <v>475477</v>
      </c>
      <c r="G24" s="11">
        <f>($F24+$C24)*Landbrug!D11*Landbrug!D6</f>
        <v>528953.31354319979</v>
      </c>
      <c r="H24" s="23">
        <f>($F24+$C24)*Landbrug!E11*Landbrug!E6</f>
        <v>872711.48954319966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922303.28256640851</v>
      </c>
      <c r="E25" s="23">
        <f>($F25+$C25)*Landbrug!E12*(1-Landbrug!E7)</f>
        <v>877744.4345664084</v>
      </c>
      <c r="F25" s="34">
        <f>SUM([1]Dyrehold!E36:G51)</f>
        <v>207835</v>
      </c>
      <c r="G25" s="11">
        <f>($F25+$C25)*Landbrug!D12*Landbrug!D7</f>
        <v>191667.91743359147</v>
      </c>
      <c r="H25" s="23">
        <f>($F25+$C25)*Landbrug!E12*Landbrug!E7</f>
        <v>236226.76543359147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14232454.554315863</v>
      </c>
      <c r="E26" s="24">
        <f>($F26+$C26)*Landbrug!E13*(1-Landbrug!E8)</f>
        <v>13551675.866315866</v>
      </c>
      <c r="F26" s="47">
        <f>SUM([1]Dyrehold!E65:G78)</f>
        <v>3062300</v>
      </c>
      <c r="G26" s="16">
        <f>($F26+$C26)*Landbrug!D13*Landbrug!D8</f>
        <v>2787012.6456841351</v>
      </c>
      <c r="H26" s="24">
        <f>($F26+$C26)*Landbrug!E13*Landbrug!E8</f>
        <v>3467791.3336841348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3" t="s">
        <v>24</v>
      </c>
      <c r="B29" s="374"/>
      <c r="C29" s="374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4"/>
      <c r="Q29" s="374"/>
      <c r="R29" s="374"/>
      <c r="S29" s="374"/>
      <c r="T29" s="374"/>
      <c r="U29" s="375"/>
    </row>
    <row r="30" spans="1:21" x14ac:dyDescent="0.25">
      <c r="A30" s="56"/>
      <c r="B30" s="53"/>
      <c r="C30" s="379" t="s">
        <v>7</v>
      </c>
      <c r="D30" s="380"/>
      <c r="E30" s="380"/>
      <c r="F30" s="380"/>
      <c r="G30" s="380"/>
      <c r="H30" s="380"/>
      <c r="I30" s="380"/>
      <c r="J30" s="380"/>
      <c r="K30" s="381"/>
      <c r="L30" s="379" t="s">
        <v>8</v>
      </c>
      <c r="M30" s="380"/>
      <c r="N30" s="380"/>
      <c r="O30" s="380"/>
      <c r="P30" s="380"/>
      <c r="Q30" s="380"/>
      <c r="R30" s="380"/>
      <c r="S30" s="380"/>
      <c r="T30" s="381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6" t="s">
        <v>7</v>
      </c>
      <c r="D49" s="377"/>
      <c r="E49" s="378"/>
      <c r="F49" s="382" t="s">
        <v>8</v>
      </c>
      <c r="G49" s="377"/>
      <c r="H49" s="37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H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11.5703125" bestFit="1" customWidth="1"/>
    <col min="5" max="5" width="4.42578125" bestFit="1" customWidth="1"/>
    <col min="6" max="6" width="12.140625" bestFit="1" customWidth="1"/>
    <col min="7" max="7" width="11.140625" bestFit="1" customWidth="1"/>
    <col min="8" max="8" width="5.5703125" bestFit="1" customWidth="1"/>
    <col min="9" max="9" width="8.42578125" bestFit="1" customWidth="1"/>
    <col min="10" max="10" width="5.7109375" bestFit="1" customWidth="1"/>
    <col min="11" max="11" width="10.85546875" bestFit="1" customWidth="1"/>
    <col min="12" max="12" width="5.5703125" bestFit="1" customWidth="1"/>
    <col min="13" max="13" width="15.42578125" bestFit="1" customWidth="1"/>
    <col min="14" max="14" width="14.5703125" bestFit="1" customWidth="1"/>
    <col min="15" max="15" width="13.140625" bestFit="1" customWidth="1"/>
    <col min="16" max="16" width="8.85546875" bestFit="1" customWidth="1"/>
    <col min="17" max="17" width="5.140625" bestFit="1" customWidth="1"/>
    <col min="18" max="18" width="10.140625" bestFit="1" customWidth="1"/>
    <col min="19" max="19" width="13.85546875" bestFit="1" customWidth="1"/>
    <col min="20" max="20" width="5.28515625" bestFit="1" customWidth="1"/>
    <col min="21" max="21" width="16" bestFit="1" customWidth="1"/>
    <col min="22" max="22" width="8.7109375" bestFit="1" customWidth="1"/>
    <col min="23" max="24" width="5.140625" bestFit="1" customWidth="1"/>
    <col min="25" max="25" width="20.7109375" bestFit="1" customWidth="1"/>
    <col min="26" max="26" width="16" bestFit="1" customWidth="1"/>
    <col min="27" max="27" width="10.140625" bestFit="1" customWidth="1"/>
    <col min="28" max="28" width="9.140625" bestFit="1" customWidth="1"/>
    <col min="29" max="29" width="12" bestFit="1" customWidth="1"/>
    <col min="30" max="30" width="12.85546875" bestFit="1" customWidth="1"/>
    <col min="31" max="31" width="9.28515625" bestFit="1" customWidth="1"/>
    <col min="32" max="32" width="8.5703125" bestFit="1" customWidth="1"/>
    <col min="33" max="33" width="13.85546875" bestFit="1" customWidth="1"/>
    <col min="34" max="34" width="11.28515625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4" x14ac:dyDescent="0.25">
      <c r="A3" s="77" t="s">
        <v>175</v>
      </c>
      <c r="B3" s="77" t="s">
        <v>62</v>
      </c>
    </row>
    <row r="4" spans="1:34" x14ac:dyDescent="0.25">
      <c r="A4" s="77" t="s">
        <v>60</v>
      </c>
      <c r="B4" s="171" t="s">
        <v>15</v>
      </c>
      <c r="C4" s="171" t="s">
        <v>49</v>
      </c>
      <c r="D4" s="171" t="s">
        <v>102</v>
      </c>
      <c r="E4" s="171" t="s">
        <v>19</v>
      </c>
      <c r="F4" s="171" t="s">
        <v>138</v>
      </c>
      <c r="G4" s="171" t="s">
        <v>97</v>
      </c>
      <c r="H4" s="171" t="s">
        <v>54</v>
      </c>
      <c r="I4" s="171" t="s">
        <v>159</v>
      </c>
      <c r="J4" s="171" t="s">
        <v>51</v>
      </c>
      <c r="K4" s="171" t="s">
        <v>6</v>
      </c>
      <c r="L4" s="171" t="s">
        <v>68</v>
      </c>
      <c r="M4" s="171" t="s">
        <v>163</v>
      </c>
      <c r="N4" s="171" t="s">
        <v>160</v>
      </c>
      <c r="O4" s="171" t="s">
        <v>104</v>
      </c>
      <c r="P4" s="171" t="s">
        <v>12</v>
      </c>
      <c r="Q4" s="171" t="s">
        <v>48</v>
      </c>
      <c r="R4" s="171" t="s">
        <v>137</v>
      </c>
      <c r="S4" s="171" t="s">
        <v>109</v>
      </c>
      <c r="T4" s="171" t="s">
        <v>53</v>
      </c>
      <c r="U4" s="171" t="s">
        <v>117</v>
      </c>
      <c r="V4" s="171" t="s">
        <v>14</v>
      </c>
      <c r="W4" s="171" t="s">
        <v>50</v>
      </c>
      <c r="X4" s="171" t="s">
        <v>52</v>
      </c>
      <c r="Y4" s="171" t="s">
        <v>108</v>
      </c>
      <c r="Z4" s="171" t="s">
        <v>141</v>
      </c>
      <c r="AA4" s="171" t="s">
        <v>136</v>
      </c>
      <c r="AB4" s="171" t="s">
        <v>13</v>
      </c>
      <c r="AC4" s="171" t="s">
        <v>96</v>
      </c>
      <c r="AD4" s="171" t="s">
        <v>120</v>
      </c>
      <c r="AE4" s="171" t="s">
        <v>239</v>
      </c>
      <c r="AF4" s="171" t="s">
        <v>232</v>
      </c>
      <c r="AG4" s="171" t="s">
        <v>119</v>
      </c>
      <c r="AH4" s="171" t="s">
        <v>61</v>
      </c>
    </row>
    <row r="5" spans="1:34" x14ac:dyDescent="0.25">
      <c r="A5" s="78" t="s">
        <v>110</v>
      </c>
      <c r="B5" s="240"/>
      <c r="C5" s="240"/>
      <c r="D5" s="240">
        <v>3840095.3813778022</v>
      </c>
      <c r="E5" s="240"/>
      <c r="F5" s="240">
        <v>13632.279090274656</v>
      </c>
      <c r="G5" s="240"/>
      <c r="H5" s="240"/>
      <c r="I5" s="240">
        <v>428226</v>
      </c>
      <c r="J5" s="240">
        <v>257031</v>
      </c>
      <c r="K5" s="240"/>
      <c r="L5" s="240">
        <v>227802</v>
      </c>
      <c r="M5" s="240">
        <v>234</v>
      </c>
      <c r="N5" s="240"/>
      <c r="O5" s="240">
        <v>2444654</v>
      </c>
      <c r="P5" s="240"/>
      <c r="Q5" s="240">
        <v>11358</v>
      </c>
      <c r="R5" s="240">
        <v>25289114.74956274</v>
      </c>
      <c r="S5" s="240"/>
      <c r="T5" s="240">
        <v>990078</v>
      </c>
      <c r="U5" s="240"/>
      <c r="V5" s="240"/>
      <c r="W5" s="240"/>
      <c r="X5" s="240">
        <v>85935</v>
      </c>
      <c r="Y5" s="240"/>
      <c r="Z5" s="240">
        <v>8334841.759060693</v>
      </c>
      <c r="AA5" s="240">
        <v>20819659.111597929</v>
      </c>
      <c r="AB5" s="240"/>
      <c r="AC5" s="240"/>
      <c r="AD5" s="240"/>
      <c r="AE5" s="240"/>
      <c r="AF5" s="240"/>
      <c r="AG5" s="240"/>
      <c r="AH5" s="240">
        <v>62742661.280689433</v>
      </c>
    </row>
    <row r="6" spans="1:34" x14ac:dyDescent="0.25">
      <c r="A6" s="79">
        <v>2019</v>
      </c>
      <c r="B6" s="240"/>
      <c r="C6" s="240"/>
      <c r="D6" s="240">
        <v>757087.00000000012</v>
      </c>
      <c r="E6" s="240"/>
      <c r="F6" s="240">
        <v>4441.5</v>
      </c>
      <c r="G6" s="240"/>
      <c r="H6" s="240"/>
      <c r="I6" s="240">
        <v>142742</v>
      </c>
      <c r="J6" s="240">
        <v>85676.999999999985</v>
      </c>
      <c r="K6" s="240"/>
      <c r="L6" s="240">
        <v>75934</v>
      </c>
      <c r="M6" s="240">
        <v>78</v>
      </c>
      <c r="N6" s="240"/>
      <c r="O6" s="240">
        <v>995654</v>
      </c>
      <c r="P6" s="240"/>
      <c r="Q6" s="240">
        <v>3785.9999999999991</v>
      </c>
      <c r="R6" s="240">
        <v>4353509.666666667</v>
      </c>
      <c r="S6" s="240"/>
      <c r="T6" s="240">
        <v>330026</v>
      </c>
      <c r="U6" s="240"/>
      <c r="V6" s="240"/>
      <c r="W6" s="240"/>
      <c r="X6" s="240">
        <v>28645.000000000004</v>
      </c>
      <c r="Y6" s="240"/>
      <c r="Z6" s="240">
        <v>2668834</v>
      </c>
      <c r="AA6" s="240">
        <v>2914869.3333333335</v>
      </c>
      <c r="AB6" s="240"/>
      <c r="AC6" s="240"/>
      <c r="AD6" s="240"/>
      <c r="AE6" s="240"/>
      <c r="AF6" s="240"/>
      <c r="AG6" s="240"/>
      <c r="AH6" s="240">
        <v>12361283.500000002</v>
      </c>
    </row>
    <row r="7" spans="1:34" x14ac:dyDescent="0.25">
      <c r="A7" s="79">
        <v>2030</v>
      </c>
      <c r="B7" s="240"/>
      <c r="C7" s="240"/>
      <c r="D7" s="240">
        <v>1505490.464025514</v>
      </c>
      <c r="E7" s="240"/>
      <c r="F7" s="240">
        <v>4521.4640303491688</v>
      </c>
      <c r="G7" s="240"/>
      <c r="H7" s="240"/>
      <c r="I7" s="240">
        <v>142742</v>
      </c>
      <c r="J7" s="240">
        <v>85677.000000000029</v>
      </c>
      <c r="K7" s="240"/>
      <c r="L7" s="240">
        <v>75933.999999999985</v>
      </c>
      <c r="M7" s="240">
        <v>78</v>
      </c>
      <c r="N7" s="240"/>
      <c r="O7" s="240">
        <v>725967.99999999977</v>
      </c>
      <c r="P7" s="240"/>
      <c r="Q7" s="240">
        <v>3786.0000000000009</v>
      </c>
      <c r="R7" s="240">
        <v>10568777.271841513</v>
      </c>
      <c r="S7" s="240"/>
      <c r="T7" s="240">
        <v>330026</v>
      </c>
      <c r="U7" s="240"/>
      <c r="V7" s="240"/>
      <c r="W7" s="240"/>
      <c r="X7" s="240">
        <v>28644.999999999996</v>
      </c>
      <c r="Y7" s="240"/>
      <c r="Z7" s="240">
        <v>2775329.8009308982</v>
      </c>
      <c r="AA7" s="240">
        <v>9147340.4973796755</v>
      </c>
      <c r="AB7" s="240"/>
      <c r="AC7" s="240"/>
      <c r="AD7" s="240"/>
      <c r="AE7" s="240"/>
      <c r="AF7" s="240"/>
      <c r="AG7" s="240"/>
      <c r="AH7" s="240">
        <v>25394315.498207949</v>
      </c>
    </row>
    <row r="8" spans="1:34" x14ac:dyDescent="0.25">
      <c r="A8" s="79">
        <v>2050</v>
      </c>
      <c r="B8" s="240"/>
      <c r="C8" s="240"/>
      <c r="D8" s="240">
        <v>1577517.9173522878</v>
      </c>
      <c r="E8" s="240"/>
      <c r="F8" s="240">
        <v>4669.3150599254868</v>
      </c>
      <c r="G8" s="240"/>
      <c r="H8" s="240"/>
      <c r="I8" s="240">
        <v>142742</v>
      </c>
      <c r="J8" s="240">
        <v>85677</v>
      </c>
      <c r="K8" s="240"/>
      <c r="L8" s="240">
        <v>75934</v>
      </c>
      <c r="M8" s="240">
        <v>78</v>
      </c>
      <c r="N8" s="240"/>
      <c r="O8" s="240">
        <v>723032.00000000023</v>
      </c>
      <c r="P8" s="240"/>
      <c r="Q8" s="240">
        <v>3786</v>
      </c>
      <c r="R8" s="240">
        <v>10366827.811054559</v>
      </c>
      <c r="S8" s="240"/>
      <c r="T8" s="240">
        <v>330026</v>
      </c>
      <c r="U8" s="240"/>
      <c r="V8" s="240"/>
      <c r="W8" s="240"/>
      <c r="X8" s="240">
        <v>28644.999999999996</v>
      </c>
      <c r="Y8" s="240"/>
      <c r="Z8" s="240">
        <v>2890677.9581297943</v>
      </c>
      <c r="AA8" s="240">
        <v>8757449.2808849197</v>
      </c>
      <c r="AB8" s="240"/>
      <c r="AC8" s="240"/>
      <c r="AD8" s="240"/>
      <c r="AE8" s="240"/>
      <c r="AF8" s="240"/>
      <c r="AG8" s="240"/>
      <c r="AH8" s="240">
        <v>24987062.282481484</v>
      </c>
    </row>
    <row r="9" spans="1:34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>
        <v>41219273.95581004</v>
      </c>
      <c r="K9" s="240"/>
      <c r="L9" s="240">
        <v>2603926.024732016</v>
      </c>
      <c r="M9" s="240"/>
      <c r="N9" s="240">
        <v>16263222.796414331</v>
      </c>
      <c r="O9" s="240"/>
      <c r="P9" s="240">
        <v>0</v>
      </c>
      <c r="Q9" s="240">
        <v>19802510.429103382</v>
      </c>
      <c r="R9" s="240"/>
      <c r="S9" s="240">
        <v>5105264.0021397118</v>
      </c>
      <c r="T9" s="240">
        <v>19054221.142737754</v>
      </c>
      <c r="U9" s="240"/>
      <c r="V9" s="240"/>
      <c r="W9" s="240"/>
      <c r="X9" s="240">
        <v>2833240.4834569679</v>
      </c>
      <c r="Y9" s="240">
        <v>132761.00241970882</v>
      </c>
      <c r="Z9" s="240"/>
      <c r="AA9" s="240"/>
      <c r="AB9" s="240"/>
      <c r="AC9" s="240"/>
      <c r="AD9" s="240"/>
      <c r="AE9" s="240">
        <v>721133.62677978189</v>
      </c>
      <c r="AF9" s="240"/>
      <c r="AG9" s="240"/>
      <c r="AH9" s="240">
        <v>107952798.74028048</v>
      </c>
    </row>
    <row r="10" spans="1:34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>
        <v>13739757.985270014</v>
      </c>
      <c r="K10" s="240"/>
      <c r="L10" s="240">
        <v>867975.34157733875</v>
      </c>
      <c r="M10" s="240"/>
      <c r="N10" s="240">
        <v>5421074.2654714445</v>
      </c>
      <c r="O10" s="240"/>
      <c r="P10" s="240">
        <v>0</v>
      </c>
      <c r="Q10" s="240">
        <v>6600836.8097011279</v>
      </c>
      <c r="R10" s="240"/>
      <c r="S10" s="240">
        <v>1701754.6673799041</v>
      </c>
      <c r="T10" s="240">
        <v>6351407.0475792512</v>
      </c>
      <c r="U10" s="240"/>
      <c r="V10" s="240"/>
      <c r="W10" s="240"/>
      <c r="X10" s="240">
        <v>944413.49448565592</v>
      </c>
      <c r="Y10" s="240">
        <v>44253.667473236274</v>
      </c>
      <c r="Z10" s="240"/>
      <c r="AA10" s="240"/>
      <c r="AB10" s="240"/>
      <c r="AC10" s="240"/>
      <c r="AD10" s="240"/>
      <c r="AE10" s="240">
        <v>240377.87559326066</v>
      </c>
      <c r="AF10" s="240"/>
      <c r="AG10" s="240"/>
      <c r="AH10" s="240">
        <v>35984266.24676016</v>
      </c>
    </row>
    <row r="11" spans="1:34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>
        <v>13739757.985270012</v>
      </c>
      <c r="K11" s="240"/>
      <c r="L11" s="240">
        <v>867975.34157733864</v>
      </c>
      <c r="M11" s="240"/>
      <c r="N11" s="240">
        <v>5421074.2654714435</v>
      </c>
      <c r="O11" s="240"/>
      <c r="P11" s="240">
        <v>0</v>
      </c>
      <c r="Q11" s="240">
        <v>6600836.809701127</v>
      </c>
      <c r="R11" s="240"/>
      <c r="S11" s="240">
        <v>1701754.6673799036</v>
      </c>
      <c r="T11" s="240">
        <v>6351407.0475792503</v>
      </c>
      <c r="U11" s="240"/>
      <c r="V11" s="240"/>
      <c r="W11" s="240"/>
      <c r="X11" s="240">
        <v>944413.49448565592</v>
      </c>
      <c r="Y11" s="240">
        <v>44253.667473236274</v>
      </c>
      <c r="Z11" s="240"/>
      <c r="AA11" s="240"/>
      <c r="AB11" s="240"/>
      <c r="AC11" s="240"/>
      <c r="AD11" s="240"/>
      <c r="AE11" s="240">
        <v>240377.87559326063</v>
      </c>
      <c r="AF11" s="240"/>
      <c r="AG11" s="240"/>
      <c r="AH11" s="240">
        <v>35984266.246760152</v>
      </c>
    </row>
    <row r="12" spans="1:34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>
        <v>13739757.985270012</v>
      </c>
      <c r="K12" s="240"/>
      <c r="L12" s="240">
        <v>867975.34157733864</v>
      </c>
      <c r="M12" s="240"/>
      <c r="N12" s="240">
        <v>5421074.2654714435</v>
      </c>
      <c r="O12" s="240"/>
      <c r="P12" s="240">
        <v>0</v>
      </c>
      <c r="Q12" s="240">
        <v>6600836.809701127</v>
      </c>
      <c r="R12" s="240"/>
      <c r="S12" s="240">
        <v>1701754.6673799036</v>
      </c>
      <c r="T12" s="240">
        <v>6351407.0475792503</v>
      </c>
      <c r="U12" s="240"/>
      <c r="V12" s="240"/>
      <c r="W12" s="240"/>
      <c r="X12" s="240">
        <v>944413.49448565592</v>
      </c>
      <c r="Y12" s="240">
        <v>44253.667473236274</v>
      </c>
      <c r="Z12" s="240"/>
      <c r="AA12" s="240"/>
      <c r="AB12" s="240"/>
      <c r="AC12" s="240"/>
      <c r="AD12" s="240"/>
      <c r="AE12" s="240">
        <v>240377.87559326063</v>
      </c>
      <c r="AF12" s="240"/>
      <c r="AG12" s="240"/>
      <c r="AH12" s="240">
        <v>35984266.246760152</v>
      </c>
    </row>
    <row r="13" spans="1:34" x14ac:dyDescent="0.25">
      <c r="A13" s="78" t="s">
        <v>128</v>
      </c>
      <c r="B13" s="240">
        <v>182574.19618217932</v>
      </c>
      <c r="C13" s="240">
        <v>0</v>
      </c>
      <c r="D13" s="240"/>
      <c r="E13" s="240">
        <v>281468.55244752642</v>
      </c>
      <c r="F13" s="240"/>
      <c r="G13" s="240">
        <v>197788.71253069426</v>
      </c>
      <c r="H13" s="240">
        <v>1445379.0531089196</v>
      </c>
      <c r="I13" s="240"/>
      <c r="J13" s="240"/>
      <c r="K13" s="240">
        <v>1513844.376677237</v>
      </c>
      <c r="L13" s="240"/>
      <c r="M13" s="240"/>
      <c r="N13" s="240"/>
      <c r="O13" s="240"/>
      <c r="P13" s="240">
        <v>692260.49385742994</v>
      </c>
      <c r="Q13" s="240">
        <v>1658382.281988129</v>
      </c>
      <c r="R13" s="240"/>
      <c r="S13" s="240"/>
      <c r="T13" s="240"/>
      <c r="U13" s="240">
        <v>2647325.8446415998</v>
      </c>
      <c r="V13" s="240">
        <v>336392.95646566537</v>
      </c>
      <c r="W13" s="240"/>
      <c r="X13" s="240"/>
      <c r="Y13" s="240"/>
      <c r="Z13" s="240"/>
      <c r="AA13" s="240"/>
      <c r="AB13" s="240">
        <v>682979.63888483576</v>
      </c>
      <c r="AC13" s="240"/>
      <c r="AD13" s="240"/>
      <c r="AE13" s="240"/>
      <c r="AF13" s="240"/>
      <c r="AG13" s="240"/>
      <c r="AH13" s="240">
        <v>9638396.1067842171</v>
      </c>
    </row>
    <row r="14" spans="1:34" x14ac:dyDescent="0.25">
      <c r="A14" s="79">
        <v>2019</v>
      </c>
      <c r="B14" s="240">
        <v>58403.100598004137</v>
      </c>
      <c r="C14" s="240">
        <v>0</v>
      </c>
      <c r="D14" s="240"/>
      <c r="E14" s="240">
        <v>90038.113421923044</v>
      </c>
      <c r="F14" s="240"/>
      <c r="G14" s="240">
        <v>63270.025647837821</v>
      </c>
      <c r="H14" s="240">
        <v>462357.87973419944</v>
      </c>
      <c r="I14" s="240"/>
      <c r="J14" s="240"/>
      <c r="K14" s="240">
        <v>484259.042458451</v>
      </c>
      <c r="L14" s="240"/>
      <c r="M14" s="240"/>
      <c r="N14" s="240"/>
      <c r="O14" s="240"/>
      <c r="P14" s="240">
        <v>221445.08976743236</v>
      </c>
      <c r="Q14" s="240">
        <v>530494.83043187088</v>
      </c>
      <c r="R14" s="240"/>
      <c r="S14" s="240"/>
      <c r="T14" s="240"/>
      <c r="U14" s="240">
        <v>846844.95867106004</v>
      </c>
      <c r="V14" s="240">
        <v>107607.71285182264</v>
      </c>
      <c r="W14" s="240"/>
      <c r="X14" s="240"/>
      <c r="Y14" s="240"/>
      <c r="Z14" s="240"/>
      <c r="AA14" s="240"/>
      <c r="AB14" s="240">
        <v>218476.26548703379</v>
      </c>
      <c r="AC14" s="240"/>
      <c r="AD14" s="240"/>
      <c r="AE14" s="240"/>
      <c r="AF14" s="240"/>
      <c r="AG14" s="240"/>
      <c r="AH14" s="240">
        <v>3083197.0190696353</v>
      </c>
    </row>
    <row r="15" spans="1:34" x14ac:dyDescent="0.25">
      <c r="A15" s="79">
        <v>2030</v>
      </c>
      <c r="B15" s="240">
        <v>60789.12467762841</v>
      </c>
      <c r="C15" s="240">
        <v>0</v>
      </c>
      <c r="D15" s="240"/>
      <c r="E15" s="240">
        <v>93716.56721134379</v>
      </c>
      <c r="F15" s="240"/>
      <c r="G15" s="240">
        <v>65854.885067430776</v>
      </c>
      <c r="H15" s="240">
        <v>481247.23703122488</v>
      </c>
      <c r="I15" s="240"/>
      <c r="J15" s="240"/>
      <c r="K15" s="240">
        <v>504043.1587853356</v>
      </c>
      <c r="L15" s="240"/>
      <c r="M15" s="240"/>
      <c r="N15" s="240"/>
      <c r="O15" s="240"/>
      <c r="P15" s="240">
        <v>230492.09773600774</v>
      </c>
      <c r="Q15" s="240">
        <v>552167.88248845807</v>
      </c>
      <c r="R15" s="240"/>
      <c r="S15" s="240"/>
      <c r="T15" s="240"/>
      <c r="U15" s="240">
        <v>881442.3078256119</v>
      </c>
      <c r="V15" s="240">
        <v>112003.96221853035</v>
      </c>
      <c r="W15" s="240"/>
      <c r="X15" s="240"/>
      <c r="Y15" s="240"/>
      <c r="Z15" s="240"/>
      <c r="AA15" s="240"/>
      <c r="AB15" s="240">
        <v>227401.98389822827</v>
      </c>
      <c r="AC15" s="240"/>
      <c r="AD15" s="240"/>
      <c r="AE15" s="240"/>
      <c r="AF15" s="240"/>
      <c r="AG15" s="240"/>
      <c r="AH15" s="240">
        <v>3209159.2069397997</v>
      </c>
    </row>
    <row r="16" spans="1:34" x14ac:dyDescent="0.25">
      <c r="A16" s="79">
        <v>2050</v>
      </c>
      <c r="B16" s="240">
        <v>63381.970906546776</v>
      </c>
      <c r="C16" s="240">
        <v>0</v>
      </c>
      <c r="D16" s="240"/>
      <c r="E16" s="240">
        <v>97713.871814259604</v>
      </c>
      <c r="F16" s="240"/>
      <c r="G16" s="240">
        <v>68663.801815425672</v>
      </c>
      <c r="H16" s="240">
        <v>501773.93634349527</v>
      </c>
      <c r="I16" s="240"/>
      <c r="J16" s="240"/>
      <c r="K16" s="240">
        <v>525542.17543345026</v>
      </c>
      <c r="L16" s="240"/>
      <c r="M16" s="240"/>
      <c r="N16" s="240"/>
      <c r="O16" s="240"/>
      <c r="P16" s="240">
        <v>240323.30635398987</v>
      </c>
      <c r="Q16" s="240">
        <v>575719.56906779984</v>
      </c>
      <c r="R16" s="240"/>
      <c r="S16" s="240"/>
      <c r="T16" s="240"/>
      <c r="U16" s="240">
        <v>919038.57814492821</v>
      </c>
      <c r="V16" s="240">
        <v>116781.28139531243</v>
      </c>
      <c r="W16" s="240"/>
      <c r="X16" s="240"/>
      <c r="Y16" s="240"/>
      <c r="Z16" s="240"/>
      <c r="AA16" s="240"/>
      <c r="AB16" s="240">
        <v>237101.38949957371</v>
      </c>
      <c r="AC16" s="240"/>
      <c r="AD16" s="240"/>
      <c r="AE16" s="240"/>
      <c r="AF16" s="240"/>
      <c r="AG16" s="240"/>
      <c r="AH16" s="240">
        <v>3346039.8807747816</v>
      </c>
    </row>
    <row r="17" spans="1:34" x14ac:dyDescent="0.25">
      <c r="A17" s="78" t="s">
        <v>121</v>
      </c>
      <c r="B17" s="240"/>
      <c r="C17" s="240"/>
      <c r="D17" s="240"/>
      <c r="E17" s="240"/>
      <c r="F17" s="240"/>
      <c r="G17" s="240"/>
      <c r="H17" s="240"/>
      <c r="I17" s="240"/>
      <c r="J17" s="240"/>
      <c r="K17" s="240"/>
      <c r="L17" s="240">
        <v>5397115.7608660124</v>
      </c>
      <c r="M17" s="240">
        <v>2948193</v>
      </c>
      <c r="N17" s="240"/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>
        <v>636963.68412800436</v>
      </c>
      <c r="AD17" s="240">
        <v>8445344.7369239964</v>
      </c>
      <c r="AE17" s="240"/>
      <c r="AF17" s="240">
        <v>561015.58304251544</v>
      </c>
      <c r="AG17" s="240"/>
      <c r="AH17" s="240">
        <v>17988632.764960527</v>
      </c>
    </row>
    <row r="18" spans="1:34" x14ac:dyDescent="0.25">
      <c r="A18" s="79">
        <v>2019</v>
      </c>
      <c r="B18" s="240"/>
      <c r="C18" s="240"/>
      <c r="D18" s="240"/>
      <c r="E18" s="240"/>
      <c r="F18" s="240"/>
      <c r="G18" s="240"/>
      <c r="H18" s="240"/>
      <c r="I18" s="240"/>
      <c r="J18" s="240"/>
      <c r="K18" s="240"/>
      <c r="L18" s="240">
        <v>1893765.2125355615</v>
      </c>
      <c r="M18" s="240">
        <v>982731</v>
      </c>
      <c r="N18" s="240"/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>
        <v>209782.38739500003</v>
      </c>
      <c r="AD18" s="240">
        <v>3010238.4923246857</v>
      </c>
      <c r="AE18" s="240"/>
      <c r="AF18" s="240">
        <v>112887.06079513082</v>
      </c>
      <c r="AG18" s="240"/>
      <c r="AH18" s="240">
        <v>6209404.1530503789</v>
      </c>
    </row>
    <row r="19" spans="1:34" x14ac:dyDescent="0.25">
      <c r="A19" s="79">
        <v>2030</v>
      </c>
      <c r="B19" s="240"/>
      <c r="C19" s="240"/>
      <c r="D19" s="240"/>
      <c r="E19" s="240"/>
      <c r="F19" s="240"/>
      <c r="G19" s="240"/>
      <c r="H19" s="240"/>
      <c r="I19" s="240"/>
      <c r="J19" s="240"/>
      <c r="K19" s="240"/>
      <c r="L19" s="240">
        <v>1802534.1213624873</v>
      </c>
      <c r="M19" s="240">
        <v>982731</v>
      </c>
      <c r="N19" s="240"/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>
        <v>216936.14364827855</v>
      </c>
      <c r="AD19" s="240">
        <v>2848752.9835421797</v>
      </c>
      <c r="AE19" s="240"/>
      <c r="AF19" s="240">
        <v>227903.51886082417</v>
      </c>
      <c r="AG19" s="240"/>
      <c r="AH19" s="240">
        <v>6078857.7674137698</v>
      </c>
    </row>
    <row r="20" spans="1:34" x14ac:dyDescent="0.25">
      <c r="A20" s="79">
        <v>2050</v>
      </c>
      <c r="B20" s="240"/>
      <c r="C20" s="240"/>
      <c r="D20" s="240"/>
      <c r="E20" s="240"/>
      <c r="F20" s="240"/>
      <c r="G20" s="240"/>
      <c r="H20" s="240"/>
      <c r="I20" s="240"/>
      <c r="J20" s="240"/>
      <c r="K20" s="240"/>
      <c r="L20" s="240">
        <v>1700816.4269679631</v>
      </c>
      <c r="M20" s="240">
        <v>982731</v>
      </c>
      <c r="N20" s="240"/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>
        <v>210245.15308472581</v>
      </c>
      <c r="AD20" s="240">
        <v>2586353.261057131</v>
      </c>
      <c r="AE20" s="240"/>
      <c r="AF20" s="240">
        <v>220225.00338656051</v>
      </c>
      <c r="AG20" s="240"/>
      <c r="AH20" s="240">
        <v>5700370.8444963805</v>
      </c>
    </row>
    <row r="21" spans="1:34" x14ac:dyDescent="0.25">
      <c r="A21" s="78" t="s">
        <v>165</v>
      </c>
      <c r="B21" s="240"/>
      <c r="C21" s="240"/>
      <c r="D21" s="240"/>
      <c r="E21" s="240"/>
      <c r="F21" s="240"/>
      <c r="G21" s="240"/>
      <c r="H21" s="240"/>
      <c r="I21" s="240"/>
      <c r="J21" s="240"/>
      <c r="K21" s="240"/>
      <c r="L21" s="240">
        <v>0</v>
      </c>
      <c r="M21" s="240">
        <v>0</v>
      </c>
      <c r="N21" s="240"/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>
        <v>0</v>
      </c>
      <c r="AD21" s="240"/>
      <c r="AE21" s="240"/>
      <c r="AF21" s="240">
        <v>104203.4407339669</v>
      </c>
      <c r="AG21" s="240">
        <v>2323859.5027345954</v>
      </c>
      <c r="AH21" s="240">
        <v>2428062.9434685623</v>
      </c>
    </row>
    <row r="22" spans="1:34" x14ac:dyDescent="0.25">
      <c r="A22" s="79">
        <v>2019</v>
      </c>
      <c r="B22" s="240"/>
      <c r="C22" s="240"/>
      <c r="D22" s="240"/>
      <c r="E22" s="240"/>
      <c r="F22" s="240"/>
      <c r="G22" s="240"/>
      <c r="H22" s="240"/>
      <c r="I22" s="240"/>
      <c r="J22" s="240"/>
      <c r="K22" s="240"/>
      <c r="L22" s="240">
        <v>0</v>
      </c>
      <c r="M22" s="240">
        <v>0</v>
      </c>
      <c r="N22" s="240"/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>
        <v>0</v>
      </c>
      <c r="AD22" s="240"/>
      <c r="AE22" s="240"/>
      <c r="AF22" s="240">
        <v>104203.4407339669</v>
      </c>
      <c r="AG22" s="240">
        <v>827693.20492220437</v>
      </c>
      <c r="AH22" s="240">
        <v>931896.64565617125</v>
      </c>
    </row>
    <row r="23" spans="1:34" x14ac:dyDescent="0.25">
      <c r="A23" s="79">
        <v>2030</v>
      </c>
      <c r="B23" s="240"/>
      <c r="C23" s="240"/>
      <c r="D23" s="240"/>
      <c r="E23" s="240"/>
      <c r="F23" s="240"/>
      <c r="G23" s="240"/>
      <c r="H23" s="240"/>
      <c r="I23" s="240"/>
      <c r="J23" s="240"/>
      <c r="K23" s="240"/>
      <c r="L23" s="240">
        <v>0</v>
      </c>
      <c r="M23" s="240">
        <v>0</v>
      </c>
      <c r="N23" s="240"/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>
        <v>0</v>
      </c>
      <c r="AD23" s="240"/>
      <c r="AE23" s="240"/>
      <c r="AF23" s="240">
        <v>0</v>
      </c>
      <c r="AG23" s="240">
        <v>783291.25515859458</v>
      </c>
      <c r="AH23" s="240">
        <v>783291.25515859458</v>
      </c>
    </row>
    <row r="24" spans="1:34" x14ac:dyDescent="0.25">
      <c r="A24" s="79">
        <v>2050</v>
      </c>
      <c r="B24" s="240"/>
      <c r="C24" s="240"/>
      <c r="D24" s="240"/>
      <c r="E24" s="240"/>
      <c r="F24" s="240"/>
      <c r="G24" s="240"/>
      <c r="H24" s="240"/>
      <c r="I24" s="240"/>
      <c r="J24" s="240"/>
      <c r="K24" s="240"/>
      <c r="L24" s="240">
        <v>0</v>
      </c>
      <c r="M24" s="240">
        <v>0</v>
      </c>
      <c r="N24" s="240"/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>
        <v>0</v>
      </c>
      <c r="AD24" s="240"/>
      <c r="AE24" s="240"/>
      <c r="AF24" s="240">
        <v>0</v>
      </c>
      <c r="AG24" s="240">
        <v>712875.04265379638</v>
      </c>
      <c r="AH24" s="240">
        <v>712875.04265379638</v>
      </c>
    </row>
    <row r="25" spans="1:34" x14ac:dyDescent="0.25">
      <c r="A25" s="78" t="s">
        <v>115</v>
      </c>
      <c r="B25" s="240"/>
      <c r="C25" s="240"/>
      <c r="D25" s="240">
        <v>1990903.880093025</v>
      </c>
      <c r="E25" s="240"/>
      <c r="F25" s="240">
        <v>13632.279090274656</v>
      </c>
      <c r="G25" s="240"/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>
        <v>16307734.043721568</v>
      </c>
      <c r="S25" s="240"/>
      <c r="T25" s="240"/>
      <c r="U25" s="240"/>
      <c r="V25" s="240"/>
      <c r="W25" s="240"/>
      <c r="X25" s="240"/>
      <c r="Y25" s="240"/>
      <c r="Z25" s="240"/>
      <c r="AA25" s="240">
        <v>30619963.111542813</v>
      </c>
      <c r="AB25" s="240"/>
      <c r="AC25" s="240"/>
      <c r="AD25" s="240"/>
      <c r="AE25" s="240"/>
      <c r="AF25" s="240"/>
      <c r="AG25" s="240"/>
      <c r="AH25" s="240">
        <v>48932233.314447686</v>
      </c>
    </row>
    <row r="26" spans="1:34" x14ac:dyDescent="0.25">
      <c r="A26" s="79">
        <v>2019</v>
      </c>
      <c r="B26" s="240"/>
      <c r="C26" s="240"/>
      <c r="D26" s="240">
        <v>823764.99285714305</v>
      </c>
      <c r="E26" s="240"/>
      <c r="F26" s="240">
        <v>4441.5</v>
      </c>
      <c r="G26" s="240"/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>
        <v>9696490.333333334</v>
      </c>
      <c r="S26" s="240"/>
      <c r="T26" s="240"/>
      <c r="U26" s="240"/>
      <c r="V26" s="240"/>
      <c r="W26" s="240"/>
      <c r="X26" s="240"/>
      <c r="Y26" s="240"/>
      <c r="Z26" s="240"/>
      <c r="AA26" s="240">
        <v>14742130.666666664</v>
      </c>
      <c r="AB26" s="240"/>
      <c r="AC26" s="240"/>
      <c r="AD26" s="240"/>
      <c r="AE26" s="240"/>
      <c r="AF26" s="240"/>
      <c r="AG26" s="240"/>
      <c r="AH26" s="240">
        <v>25266827.492857143</v>
      </c>
    </row>
    <row r="27" spans="1:34" x14ac:dyDescent="0.25">
      <c r="A27" s="79">
        <v>2030</v>
      </c>
      <c r="B27" s="240"/>
      <c r="C27" s="240"/>
      <c r="D27" s="240">
        <v>569935.67566680163</v>
      </c>
      <c r="E27" s="240"/>
      <c r="F27" s="240">
        <v>4521.4640303491688</v>
      </c>
      <c r="G27" s="240"/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>
        <v>3337508.6121604778</v>
      </c>
      <c r="S27" s="240"/>
      <c r="T27" s="240"/>
      <c r="U27" s="240"/>
      <c r="V27" s="240"/>
      <c r="W27" s="240"/>
      <c r="X27" s="240"/>
      <c r="Y27" s="240"/>
      <c r="Z27" s="240"/>
      <c r="AA27" s="240">
        <v>8111792.5165442396</v>
      </c>
      <c r="AB27" s="240"/>
      <c r="AC27" s="240"/>
      <c r="AD27" s="240"/>
      <c r="AE27" s="240"/>
      <c r="AF27" s="240"/>
      <c r="AG27" s="240"/>
      <c r="AH27" s="240">
        <v>12023758.268401869</v>
      </c>
    </row>
    <row r="28" spans="1:34" x14ac:dyDescent="0.25">
      <c r="A28" s="79">
        <v>2050</v>
      </c>
      <c r="B28" s="240"/>
      <c r="C28" s="240"/>
      <c r="D28" s="240">
        <v>597203.21156908036</v>
      </c>
      <c r="E28" s="240"/>
      <c r="F28" s="240">
        <v>4669.3150599254868</v>
      </c>
      <c r="G28" s="240"/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>
        <v>3273735.0982277556</v>
      </c>
      <c r="S28" s="240"/>
      <c r="T28" s="240"/>
      <c r="U28" s="240"/>
      <c r="V28" s="240"/>
      <c r="W28" s="240"/>
      <c r="X28" s="240"/>
      <c r="Y28" s="240"/>
      <c r="Z28" s="240"/>
      <c r="AA28" s="240">
        <v>7766039.9283319106</v>
      </c>
      <c r="AB28" s="240"/>
      <c r="AC28" s="240"/>
      <c r="AD28" s="240"/>
      <c r="AE28" s="240"/>
      <c r="AF28" s="240"/>
      <c r="AG28" s="240"/>
      <c r="AH28" s="240">
        <v>11641647.553188672</v>
      </c>
    </row>
    <row r="29" spans="1:34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>
        <v>2078809.4493015073</v>
      </c>
      <c r="X29" s="240"/>
      <c r="Y29" s="240"/>
      <c r="Z29" s="240"/>
      <c r="AA29" s="240"/>
      <c r="AB29" s="240"/>
      <c r="AC29" s="240"/>
      <c r="AD29" s="240"/>
      <c r="AE29" s="240"/>
      <c r="AF29" s="240"/>
      <c r="AG29" s="240"/>
      <c r="AH29" s="240">
        <v>2078809.4493015073</v>
      </c>
    </row>
    <row r="30" spans="1:34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>
        <v>678407.81727843033</v>
      </c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>
        <v>678407.81727843033</v>
      </c>
    </row>
    <row r="31" spans="1:34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>
        <v>712198.49644007557</v>
      </c>
      <c r="X31" s="240"/>
      <c r="Y31" s="240"/>
      <c r="Z31" s="240"/>
      <c r="AA31" s="240"/>
      <c r="AB31" s="240"/>
      <c r="AC31" s="240"/>
      <c r="AD31" s="240"/>
      <c r="AE31" s="240"/>
      <c r="AF31" s="240"/>
      <c r="AG31" s="240"/>
      <c r="AH31" s="240">
        <v>712198.49644007557</v>
      </c>
    </row>
    <row r="32" spans="1:34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>
        <v>688203.13558300154</v>
      </c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>
        <v>688203.13558300154</v>
      </c>
    </row>
    <row r="33" spans="1:34" x14ac:dyDescent="0.25">
      <c r="A33" s="78" t="s">
        <v>61</v>
      </c>
      <c r="B33" s="240">
        <v>182574.19618217932</v>
      </c>
      <c r="C33" s="240">
        <v>217245.27668679622</v>
      </c>
      <c r="D33" s="240">
        <v>5830999.2614708273</v>
      </c>
      <c r="E33" s="240">
        <v>281468.55244752642</v>
      </c>
      <c r="F33" s="240">
        <v>27264.558180549313</v>
      </c>
      <c r="G33" s="240">
        <v>197788.71253069426</v>
      </c>
      <c r="H33" s="240">
        <v>1445379.0531089196</v>
      </c>
      <c r="I33" s="240">
        <v>428226</v>
      </c>
      <c r="J33" s="240">
        <v>41476304.95581004</v>
      </c>
      <c r="K33" s="240">
        <v>1513844.376677237</v>
      </c>
      <c r="L33" s="240">
        <v>8228843.7855980285</v>
      </c>
      <c r="M33" s="240">
        <v>2948427</v>
      </c>
      <c r="N33" s="240">
        <v>16263222.796414331</v>
      </c>
      <c r="O33" s="240">
        <v>2444654</v>
      </c>
      <c r="P33" s="240">
        <v>692260.49385742994</v>
      </c>
      <c r="Q33" s="240">
        <v>21472250.711091511</v>
      </c>
      <c r="R33" s="240">
        <v>41596848.793284312</v>
      </c>
      <c r="S33" s="240">
        <v>5105264.0021397118</v>
      </c>
      <c r="T33" s="240">
        <v>20044299.142737754</v>
      </c>
      <c r="U33" s="240">
        <v>2647325.8446415998</v>
      </c>
      <c r="V33" s="240">
        <v>336392.95646566537</v>
      </c>
      <c r="W33" s="240">
        <v>2078809.4493015073</v>
      </c>
      <c r="X33" s="240">
        <v>2919175.4834569679</v>
      </c>
      <c r="Y33" s="240">
        <v>132761.00241970882</v>
      </c>
      <c r="Z33" s="240">
        <v>8334841.759060693</v>
      </c>
      <c r="AA33" s="240">
        <v>51439622.223140746</v>
      </c>
      <c r="AB33" s="240">
        <v>682979.63888483576</v>
      </c>
      <c r="AC33" s="240">
        <v>636963.68412800436</v>
      </c>
      <c r="AD33" s="240">
        <v>8445344.7369239964</v>
      </c>
      <c r="AE33" s="240">
        <v>721133.62677978189</v>
      </c>
      <c r="AF33" s="240">
        <v>665219.02377648233</v>
      </c>
      <c r="AG33" s="240">
        <v>2323859.5027345954</v>
      </c>
      <c r="AH33" s="240">
        <v>251761594.59993243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3.140625" bestFit="1" customWidth="1"/>
    <col min="4" max="4" width="8.7109375" bestFit="1" customWidth="1"/>
    <col min="5" max="5" width="8.42578125" bestFit="1" customWidth="1"/>
    <col min="6" max="6" width="8.85546875" bestFit="1" customWidth="1"/>
    <col min="7" max="7" width="14.5703125" bestFit="1" customWidth="1"/>
    <col min="8" max="8" width="11.2851562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8" x14ac:dyDescent="0.25">
      <c r="A2" s="77" t="s">
        <v>285</v>
      </c>
      <c r="B2" s="78">
        <v>1</v>
      </c>
    </row>
    <row r="4" spans="1:8" x14ac:dyDescent="0.25">
      <c r="A4" s="77" t="s">
        <v>312</v>
      </c>
      <c r="B4" s="77" t="s">
        <v>62</v>
      </c>
    </row>
    <row r="5" spans="1:8" x14ac:dyDescent="0.25">
      <c r="A5" s="77" t="s">
        <v>60</v>
      </c>
      <c r="B5" s="171" t="s">
        <v>6</v>
      </c>
      <c r="C5" s="171" t="s">
        <v>104</v>
      </c>
      <c r="D5" s="171" t="s">
        <v>14</v>
      </c>
      <c r="E5" s="171" t="s">
        <v>159</v>
      </c>
      <c r="F5" s="171" t="s">
        <v>54</v>
      </c>
      <c r="G5" s="171" t="s">
        <v>160</v>
      </c>
      <c r="H5" s="171" t="s">
        <v>61</v>
      </c>
    </row>
    <row r="6" spans="1:8" x14ac:dyDescent="0.25">
      <c r="A6" s="78">
        <v>2019</v>
      </c>
      <c r="B6" s="76">
        <v>203649.62100550608</v>
      </c>
      <c r="C6" s="76">
        <v>282332.03034110228</v>
      </c>
      <c r="D6" s="76">
        <v>0</v>
      </c>
      <c r="E6" s="76">
        <v>142742</v>
      </c>
      <c r="F6" s="76">
        <v>420629.98984142789</v>
      </c>
      <c r="G6" s="76">
        <v>5421074.2654714445</v>
      </c>
      <c r="H6" s="76">
        <v>6470427.9066594811</v>
      </c>
    </row>
    <row r="7" spans="1:8" x14ac:dyDescent="0.25">
      <c r="A7" s="78">
        <v>2030</v>
      </c>
      <c r="B7" s="76">
        <v>210965.35838487741</v>
      </c>
      <c r="C7" s="76">
        <v>0</v>
      </c>
      <c r="D7" s="76">
        <v>0</v>
      </c>
      <c r="E7" s="76">
        <v>142742</v>
      </c>
      <c r="F7" s="76">
        <v>437443.77822737186</v>
      </c>
      <c r="G7" s="76">
        <v>5421074.2654714435</v>
      </c>
      <c r="H7" s="76">
        <v>6212225.4020836931</v>
      </c>
    </row>
    <row r="8" spans="1:8" x14ac:dyDescent="0.25">
      <c r="A8" s="78">
        <v>2050</v>
      </c>
      <c r="B8" s="76">
        <v>241953.74133540038</v>
      </c>
      <c r="C8" s="76">
        <v>0.11492812394862995</v>
      </c>
      <c r="D8" s="76">
        <v>6687.6021110492293</v>
      </c>
      <c r="E8" s="76">
        <v>142742</v>
      </c>
      <c r="F8" s="76">
        <v>459349.41813660081</v>
      </c>
      <c r="G8" s="76">
        <v>5421074.2654714435</v>
      </c>
      <c r="H8" s="76">
        <v>6271807.1419826178</v>
      </c>
    </row>
    <row r="9" spans="1:8" x14ac:dyDescent="0.25">
      <c r="A9" s="78" t="s">
        <v>61</v>
      </c>
      <c r="B9" s="76">
        <v>656568.72072578385</v>
      </c>
      <c r="C9" s="76">
        <v>282332.14526922622</v>
      </c>
      <c r="D9" s="76">
        <v>6687.6021110492293</v>
      </c>
      <c r="E9" s="76">
        <v>428226</v>
      </c>
      <c r="F9" s="76">
        <v>1317423.1862054006</v>
      </c>
      <c r="G9" s="76">
        <v>16263222.796414331</v>
      </c>
      <c r="H9" s="76">
        <v>18954460.450725794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.5703125" style="171" bestFit="1" customWidth="1"/>
    <col min="5" max="5" width="11.140625" style="171" bestFit="1" customWidth="1"/>
    <col min="6" max="6" width="9.85546875" style="171" bestFit="1" customWidth="1"/>
    <col min="7" max="7" width="11" style="171" bestFit="1" customWidth="1"/>
    <col min="8" max="8" width="13.140625" style="171" bestFit="1" customWidth="1"/>
    <col min="9" max="10" width="9.85546875" style="171" bestFit="1" customWidth="1"/>
    <col min="11" max="11" width="13.85546875" style="171" bestFit="1" customWidth="1"/>
    <col min="12" max="12" width="9.85546875" style="171" bestFit="1" customWidth="1"/>
    <col min="13" max="13" width="16" style="171" bestFit="1" customWidth="1"/>
    <col min="14" max="14" width="10" style="171" bestFit="1" customWidth="1"/>
    <col min="15" max="15" width="8.7109375" style="171" bestFit="1" customWidth="1"/>
    <col min="16" max="16" width="11" style="171" bestFit="1" customWidth="1"/>
    <col min="17" max="17" width="9.85546875" style="171" bestFit="1" customWidth="1"/>
    <col min="18" max="18" width="21" style="171" bestFit="1" customWidth="1"/>
    <col min="19" max="19" width="20.7109375" style="171" bestFit="1" customWidth="1"/>
    <col min="20" max="20" width="9.85546875" style="171" bestFit="1" customWidth="1"/>
    <col min="21" max="21" width="7.140625" style="171" bestFit="1" customWidth="1"/>
    <col min="22" max="22" width="16" style="171" bestFit="1" customWidth="1"/>
    <col min="23" max="24" width="9.85546875" style="171" bestFit="1" customWidth="1"/>
    <col min="25" max="25" width="9.28515625" style="171" bestFit="1" customWidth="1"/>
    <col min="26" max="26" width="11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102</v>
      </c>
      <c r="E5" s="171" t="s">
        <v>97</v>
      </c>
      <c r="F5" s="171" t="s">
        <v>114</v>
      </c>
      <c r="G5" s="171" t="s">
        <v>51</v>
      </c>
      <c r="H5" s="171" t="s">
        <v>104</v>
      </c>
      <c r="I5" s="171" t="s">
        <v>12</v>
      </c>
      <c r="J5" s="171" t="s">
        <v>48</v>
      </c>
      <c r="K5" s="171" t="s">
        <v>109</v>
      </c>
      <c r="L5" s="171" t="s">
        <v>53</v>
      </c>
      <c r="M5" s="171" t="s">
        <v>117</v>
      </c>
      <c r="N5" s="171" t="s">
        <v>107</v>
      </c>
      <c r="O5" s="171" t="s">
        <v>14</v>
      </c>
      <c r="P5" s="171" t="s">
        <v>118</v>
      </c>
      <c r="Q5" s="171" t="s">
        <v>52</v>
      </c>
      <c r="R5" s="171" t="s">
        <v>122</v>
      </c>
      <c r="S5" s="171" t="s">
        <v>108</v>
      </c>
      <c r="T5" s="171" t="s">
        <v>13</v>
      </c>
      <c r="U5" s="171" t="s">
        <v>100</v>
      </c>
      <c r="V5" s="171" t="s">
        <v>141</v>
      </c>
      <c r="W5" s="171" t="s">
        <v>56</v>
      </c>
      <c r="X5" s="171" t="s">
        <v>55</v>
      </c>
      <c r="Y5" s="171" t="s">
        <v>239</v>
      </c>
      <c r="Z5" s="171" t="s">
        <v>61</v>
      </c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1352218.0071428574</v>
      </c>
      <c r="E6" s="98">
        <v>138275.28002889914</v>
      </c>
      <c r="F6" s="98">
        <v>1502558.0356082148</v>
      </c>
      <c r="G6" s="98">
        <v>4118003.7103001666</v>
      </c>
      <c r="H6" s="98"/>
      <c r="I6" s="98">
        <v>2040873.7508661344</v>
      </c>
      <c r="J6" s="98">
        <v>1974670.329311419</v>
      </c>
      <c r="K6" s="98">
        <v>51892.132620096323</v>
      </c>
      <c r="L6" s="98">
        <v>1266262.2462674922</v>
      </c>
      <c r="M6" s="98">
        <v>2536783.2413289398</v>
      </c>
      <c r="N6" s="98">
        <v>880.09999999999991</v>
      </c>
      <c r="O6" s="98">
        <v>8064.2063400965635</v>
      </c>
      <c r="P6" s="98">
        <v>5269000</v>
      </c>
      <c r="Q6" s="98">
        <v>1656364.6415009145</v>
      </c>
      <c r="R6" s="98">
        <v>217010.36743552322</v>
      </c>
      <c r="S6" s="98">
        <v>105946.31157195524</v>
      </c>
      <c r="T6" s="98">
        <v>1382651.4311789067</v>
      </c>
      <c r="U6" s="98">
        <v>76.5</v>
      </c>
      <c r="V6" s="98">
        <v>4368323.901678659</v>
      </c>
      <c r="W6" s="98">
        <v>911574.64248506655</v>
      </c>
      <c r="X6" s="98">
        <v>2005102.1714007764</v>
      </c>
      <c r="Y6" s="98">
        <v>98826.033045954537</v>
      </c>
      <c r="Z6" s="98">
        <v>31394664.949269816</v>
      </c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935554.7883587121</v>
      </c>
      <c r="E7" s="98">
        <v>131018.05015567706</v>
      </c>
      <c r="F7" s="98">
        <v>1570157.2016349281</v>
      </c>
      <c r="G7" s="98">
        <v>4828921.2485613981</v>
      </c>
      <c r="H7" s="98">
        <v>0.40288562423666008</v>
      </c>
      <c r="I7" s="98">
        <v>2134206.5118205468</v>
      </c>
      <c r="J7" s="98">
        <v>2423533.1724211206</v>
      </c>
      <c r="K7" s="98">
        <v>34449.731880352119</v>
      </c>
      <c r="L7" s="98">
        <v>1690869.0750561175</v>
      </c>
      <c r="M7" s="98">
        <v>2468531.1111667752</v>
      </c>
      <c r="N7" s="98">
        <v>148232.6739623498</v>
      </c>
      <c r="O7" s="98">
        <v>1709.9716434609509</v>
      </c>
      <c r="P7" s="98">
        <v>5216592.6341052745</v>
      </c>
      <c r="Q7" s="98">
        <v>1803779.2618535154</v>
      </c>
      <c r="R7" s="98">
        <v>213658.900448664</v>
      </c>
      <c r="S7" s="98">
        <v>103730.08649485061</v>
      </c>
      <c r="T7" s="98">
        <v>1350281.1539118693</v>
      </c>
      <c r="U7" s="98">
        <v>14400</v>
      </c>
      <c r="V7" s="98">
        <v>4542635.2873380352</v>
      </c>
      <c r="W7" s="98">
        <v>954977.96501922607</v>
      </c>
      <c r="X7" s="98">
        <v>2101303.8465657956</v>
      </c>
      <c r="Y7" s="98">
        <v>115721.37262677713</v>
      </c>
      <c r="Z7" s="98">
        <v>33181466.52879855</v>
      </c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980314.70578320744</v>
      </c>
      <c r="E8" s="98">
        <v>119570.06432731522</v>
      </c>
      <c r="F8" s="98">
        <v>1522723.6559768345</v>
      </c>
      <c r="G8" s="98">
        <v>4438214.8515691292</v>
      </c>
      <c r="H8" s="98"/>
      <c r="I8" s="98">
        <v>2041999.0273120813</v>
      </c>
      <c r="J8" s="98">
        <v>2125486.6888101231</v>
      </c>
      <c r="K8" s="98">
        <v>2199.2700615431677</v>
      </c>
      <c r="L8" s="98">
        <v>1488865.2333387681</v>
      </c>
      <c r="M8" s="98">
        <v>2368708.1871831375</v>
      </c>
      <c r="N8" s="98">
        <v>243411.82603765032</v>
      </c>
      <c r="O8" s="98"/>
      <c r="P8" s="98">
        <v>5119693.0284815514</v>
      </c>
      <c r="Q8" s="98">
        <v>1730280.0978252576</v>
      </c>
      <c r="R8" s="98">
        <v>207462.14120035616</v>
      </c>
      <c r="S8" s="98">
        <v>99632.354577237478</v>
      </c>
      <c r="T8" s="98">
        <v>1297233.4809750344</v>
      </c>
      <c r="U8" s="98">
        <v>18000</v>
      </c>
      <c r="V8" s="98">
        <v>4731436.1314918958</v>
      </c>
      <c r="W8" s="98">
        <v>922616.4144434646</v>
      </c>
      <c r="X8" s="98">
        <v>2030965.6070747143</v>
      </c>
      <c r="Y8" s="98">
        <v>103723.69219824017</v>
      </c>
      <c r="Z8" s="98">
        <v>31970748.567087293</v>
      </c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3268087.5012847767</v>
      </c>
      <c r="E9" s="98">
        <v>388863.39451189141</v>
      </c>
      <c r="F9" s="98">
        <v>4595438.8932199776</v>
      </c>
      <c r="G9" s="98">
        <v>13385139.810430694</v>
      </c>
      <c r="H9" s="98">
        <v>0.40288562423666008</v>
      </c>
      <c r="I9" s="98">
        <v>6217079.2899987623</v>
      </c>
      <c r="J9" s="98">
        <v>6523690.1905426625</v>
      </c>
      <c r="K9" s="98">
        <v>88541.13456199161</v>
      </c>
      <c r="L9" s="98">
        <v>4445996.5546623785</v>
      </c>
      <c r="M9" s="98">
        <v>7374022.539678853</v>
      </c>
      <c r="N9" s="98">
        <v>392524.60000000009</v>
      </c>
      <c r="O9" s="98">
        <v>9774.1779835575144</v>
      </c>
      <c r="P9" s="98">
        <v>15605285.662586827</v>
      </c>
      <c r="Q9" s="98">
        <v>5190424.0011796877</v>
      </c>
      <c r="R9" s="98">
        <v>638131.40908454335</v>
      </c>
      <c r="S9" s="98">
        <v>309308.7526440433</v>
      </c>
      <c r="T9" s="98">
        <v>4030166.0660658106</v>
      </c>
      <c r="U9" s="98">
        <v>32476.5</v>
      </c>
      <c r="V9" s="98">
        <v>13642395.32050859</v>
      </c>
      <c r="W9" s="98">
        <v>2789169.0219477573</v>
      </c>
      <c r="X9" s="98">
        <v>6137371.6250412865</v>
      </c>
      <c r="Y9" s="98">
        <v>318271.09787097183</v>
      </c>
      <c r="Z9" s="98">
        <v>96546880.045155659</v>
      </c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319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 t="e">
        <v>#REF!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 t="e">
        <v>#REF!</v>
      </c>
    </row>
    <row r="7" spans="1:11" x14ac:dyDescent="0.25">
      <c r="A7" s="79">
        <v>2030</v>
      </c>
      <c r="B7" s="238" t="e">
        <v>#REF!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 t="e">
        <v>#REF!</v>
      </c>
    </row>
    <row r="8" spans="1:11" x14ac:dyDescent="0.25">
      <c r="A8" s="79">
        <v>2050</v>
      </c>
      <c r="B8" s="238" t="e">
        <v>#REF!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 t="e">
        <v>#REF!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 t="e">
        <v>#REF!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 t="e">
        <v>#REF!</v>
      </c>
    </row>
    <row r="11" spans="1:11" x14ac:dyDescent="0.25">
      <c r="A11" s="79">
        <v>2030</v>
      </c>
      <c r="B11" s="238" t="e">
        <v>#REF!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 t="e">
        <v>#REF!</v>
      </c>
    </row>
    <row r="12" spans="1:11" x14ac:dyDescent="0.25">
      <c r="A12" s="79">
        <v>2050</v>
      </c>
      <c r="B12" s="238" t="e">
        <v>#REF!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 t="e">
        <v>#REF!</v>
      </c>
    </row>
    <row r="13" spans="1:11" x14ac:dyDescent="0.25">
      <c r="A13" s="78" t="s">
        <v>293</v>
      </c>
      <c r="B13" s="238" t="e">
        <v>#REF!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 t="e">
        <v>#REF!</v>
      </c>
    </row>
    <row r="14" spans="1:11" x14ac:dyDescent="0.25">
      <c r="A14" s="78" t="s">
        <v>247</v>
      </c>
      <c r="B14" s="238" t="e">
        <v>#REF!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 t="e">
        <v>#REF!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9" width="11.28515625" bestFit="1" customWidth="1"/>
    <col min="10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 t="e">
        <v>#REF!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 t="e">
        <v>#REF!</v>
      </c>
    </row>
    <row r="4" spans="1:9" x14ac:dyDescent="0.25">
      <c r="A4" s="78">
        <v>2030</v>
      </c>
      <c r="B4" s="239" t="e">
        <v>#REF!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 t="e">
        <v>#REF!</v>
      </c>
    </row>
    <row r="5" spans="1:9" x14ac:dyDescent="0.25">
      <c r="A5" s="78">
        <v>2050</v>
      </c>
      <c r="B5" s="239" t="e">
        <v>#REF!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 t="e">
        <v>#REF!</v>
      </c>
    </row>
    <row r="6" spans="1:9" x14ac:dyDescent="0.25">
      <c r="A6" s="78" t="s">
        <v>61</v>
      </c>
      <c r="B6" s="239" t="e">
        <v>#REF!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 t="e">
        <v>#REF!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317</v>
      </c>
      <c r="I2" s="171" t="s">
        <v>341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E12" sqref="A12:U61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340</v>
      </c>
      <c r="E9" s="171" t="s">
        <v>341</v>
      </c>
      <c r="G9" s="171" t="s">
        <v>339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317</v>
      </c>
      <c r="E11" s="171" t="s">
        <v>317</v>
      </c>
      <c r="G11" s="171" t="s">
        <v>317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10410169.524502344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4046578.8260529838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71" t="s">
        <v>340</v>
      </c>
      <c r="E19" s="98" t="str">
        <f t="shared" si="4"/>
        <v>Træprodukter</v>
      </c>
      <c r="G19" s="171" t="s">
        <v>339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-313642.01757617836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9607697.9195836745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4029816.5016583097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71" t="s">
        <v>340</v>
      </c>
      <c r="E29" s="98" t="str">
        <f t="shared" si="4"/>
        <v>Træprodukter</v>
      </c>
      <c r="G29" s="171" t="s">
        <v>339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-305735.90389246412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340</v>
      </c>
      <c r="E39" s="98" t="str">
        <f t="shared" si="4"/>
        <v>Træprodukter</v>
      </c>
      <c r="G39" s="171" t="s">
        <v>339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1679077.1519635522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359274.67944464367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71" t="s">
        <v>340</v>
      </c>
      <c r="E49" s="98" t="str">
        <f t="shared" si="4"/>
        <v>Træprodukter</v>
      </c>
      <c r="G49" s="171" t="s">
        <v>339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-28297.406862279633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1522180.8636368103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358368.22621777962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71" t="s">
        <v>340</v>
      </c>
      <c r="E59" s="98" t="str">
        <f t="shared" si="4"/>
        <v>Træprodukter</v>
      </c>
      <c r="G59" s="171" t="s">
        <v>339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-27479.507795346046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8065001.0864567999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922303.28256640851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14232454.554315863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7721242.9104568008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877744.4345664084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13551675.866315866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528953.31354319979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191667.91743359147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2787012.6456841351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872711.48954319966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236226.76543359147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3467791.3336841348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2021-09-21T15:06:10Z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917339563369750</vt:r8>
  </property>
</Properties>
</file>