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90766B14-6734-46AB-8989-FBEA2CD288B5}" xr6:coauthVersionLast="47" xr6:coauthVersionMax="47" xr10:uidLastSave="{00000000-0000-0000-0000-000000000000}"/>
  <bookViews>
    <workbookView xWindow="-120" yWindow="-120" windowWidth="29040" windowHeight="15720" tabRatio="945" firstSheet="15" activeTab="22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Græsprotein" sheetId="78" r:id="rId7"/>
    <sheet name="Fodersammensætning" sheetId="34" r:id="rId8"/>
    <sheet name="Skovbrug" sheetId="26" r:id="rId9"/>
    <sheet name="Skovbrug-alder" sheetId="72" state="hidden" r:id="rId10"/>
    <sheet name="Havbrug" sheetId="32" r:id="rId11"/>
    <sheet name="Adfærd" sheetId="6" r:id="rId12"/>
    <sheet name="Biogasanlæg" sheetId="39" r:id="rId13"/>
    <sheet name="Forbrug til andet" sheetId="8" r:id="rId14"/>
    <sheet name="Direkte input" sheetId="35" r:id="rId15"/>
    <sheet name="Forbrug af biomasse" sheetId="38" r:id="rId16"/>
    <sheet name="Restprodukter" sheetId="53" r:id="rId17"/>
    <sheet name="Resultater - Vestdanmark" sheetId="37" r:id="rId18"/>
    <sheet name="Resultater - Østdanmark" sheetId="58" r:id="rId19"/>
    <sheet name="Resultater - Danmark" sheetId="41" r:id="rId20"/>
    <sheet name="Resultat-Produktion &amp; forbrug" sheetId="66" r:id="rId21"/>
    <sheet name="Produktion &amp; forbrug" sheetId="74" r:id="rId22"/>
    <sheet name="CONCITO" sheetId="77" r:id="rId23"/>
    <sheet name="Kategorisering af kcal" sheetId="75" r:id="rId24"/>
    <sheet name="Landbrugsareal - resultat" sheetId="20" state="hidden" r:id="rId25"/>
    <sheet name="Pivot tabeller og data" sheetId="68" state="hidden" r:id="rId26"/>
    <sheet name="Resultat-Forbrug af biomasse" sheetId="56" state="hidden" r:id="rId27"/>
    <sheet name="Resultat-Import" sheetId="51" state="hidden" r:id="rId28"/>
    <sheet name="Resultat-Eksport" sheetId="71" state="hidden" r:id="rId29"/>
    <sheet name="Resultat-Potentiale til energi" sheetId="50" state="hidden" r:id="rId30"/>
    <sheet name="Resultat-Tørstof til energi" sheetId="67" state="hidden" r:id="rId31"/>
    <sheet name="CO2-pivot" sheetId="64" state="hidden" r:id="rId32"/>
    <sheet name="CO2-udledning" sheetId="63" r:id="rId33"/>
    <sheet name="Produktion afgrøder-pivot" sheetId="60" state="hidden" r:id="rId34"/>
    <sheet name="Produktion af afgrøder" sheetId="57" state="hidden" r:id="rId35"/>
    <sheet name="Produkt skovbrug" sheetId="62" state="hidden" r:id="rId36"/>
    <sheet name="Produkt havbrug" sheetId="61" state="hidden" r:id="rId37"/>
    <sheet name="Arealanvendelse - pivot" sheetId="23" state="hidden" r:id="rId38"/>
    <sheet name="Pivot chart - landbrug" sheetId="19" state="hidden" r:id="rId39"/>
    <sheet name="Arealanvendelsesresultater-big" sheetId="22" state="hidden" r:id="rId40"/>
    <sheet name="Landbrugsresultater - pivot" sheetId="18" state="hidden" r:id="rId41"/>
  </sheets>
  <externalReferences>
    <externalReference r:id="rId42"/>
  </externalReferences>
  <definedNames>
    <definedName name="_xlnm._FilterDatabase" localSheetId="14" hidden="1">'Direkte input'!$A$2:$I$230</definedName>
    <definedName name="_xlnm._FilterDatabase" localSheetId="2" hidden="1">Farvekoder!$A$1:$A$70</definedName>
    <definedName name="_xlnm._FilterDatabase" localSheetId="15" hidden="1">'Forbrug af biomasse'!$A$1:$G$415</definedName>
    <definedName name="_xlnm._FilterDatabase" localSheetId="21" hidden="1">'Produktion &amp; forbrug'!$A$3:$AG$147</definedName>
    <definedName name="_xlnm._FilterDatabase" localSheetId="19" hidden="1">'Resultater - Danmark'!$A$2:$O$497</definedName>
    <definedName name="_xlnm._FilterDatabase" localSheetId="17" hidden="1">'Resultater - Vestdanmark'!$A$2:$U$497</definedName>
    <definedName name="_xlnm._FilterDatabase" localSheetId="20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25" r:id="rId43"/>
    <pivotCache cacheId="1630" r:id="rId44"/>
    <pivotCache cacheId="1635" r:id="rId45"/>
    <pivotCache cacheId="1641" r:id="rId46"/>
    <pivotCache cacheId="1646" r:id="rId47"/>
    <pivotCache cacheId="1651" r:id="rId48"/>
    <pivotCache cacheId="1655" r:id="rId49"/>
    <pivotCache cacheId="1660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5" i="77" l="1"/>
  <c r="G35" i="77"/>
  <c r="I29" i="77" l="1"/>
  <c r="H29" i="77"/>
  <c r="G29" i="77"/>
  <c r="F36" i="77"/>
  <c r="F37" i="77" s="1"/>
  <c r="C16" i="77"/>
  <c r="K24" i="77"/>
  <c r="L24" i="77"/>
  <c r="K32" i="77"/>
  <c r="L32" i="77"/>
  <c r="K33" i="77"/>
  <c r="L33" i="77"/>
  <c r="L22" i="77"/>
  <c r="K22" i="77"/>
  <c r="H34" i="77"/>
  <c r="H31" i="77"/>
  <c r="H30" i="77"/>
  <c r="H28" i="77"/>
  <c r="H27" i="77"/>
  <c r="H26" i="77"/>
  <c r="H25" i="77"/>
  <c r="H23" i="77"/>
  <c r="G27" i="77"/>
  <c r="G34" i="77"/>
  <c r="G31" i="77"/>
  <c r="G30" i="77"/>
  <c r="G28" i="77"/>
  <c r="G26" i="77"/>
  <c r="G25" i="77"/>
  <c r="G23" i="77"/>
  <c r="H21" i="77"/>
  <c r="G21" i="77"/>
  <c r="D14" i="34"/>
  <c r="E5" i="34"/>
  <c r="E6" i="34"/>
  <c r="E7" i="34"/>
  <c r="E4" i="34"/>
  <c r="E12" i="34"/>
  <c r="E9" i="34"/>
  <c r="E8" i="78"/>
  <c r="C6" i="75"/>
  <c r="C8" i="78"/>
  <c r="E5" i="78"/>
  <c r="E6" i="75" l="1"/>
  <c r="D8" i="78" l="1"/>
  <c r="E40" i="17" l="1"/>
  <c r="I12" i="17" l="1"/>
  <c r="I10" i="17" s="1"/>
  <c r="H12" i="17"/>
  <c r="H14" i="17" s="1"/>
  <c r="H11" i="17"/>
  <c r="H13" i="17" s="1"/>
  <c r="E44" i="17"/>
  <c r="C22" i="34"/>
  <c r="I13" i="17" l="1"/>
  <c r="I14" i="17"/>
  <c r="D5" i="78"/>
  <c r="E7" i="78"/>
  <c r="E22" i="34" s="1"/>
  <c r="D6" i="78"/>
  <c r="D4" i="78"/>
  <c r="D3" i="78"/>
  <c r="D6" i="75" s="1"/>
  <c r="K10" i="76"/>
  <c r="C17" i="26"/>
  <c r="C14" i="26" s="1"/>
  <c r="D14" i="26"/>
  <c r="D7" i="78" l="1"/>
  <c r="D22" i="34" s="1"/>
  <c r="D39" i="77"/>
  <c r="C39" i="77"/>
  <c r="E1" i="75"/>
  <c r="D1" i="75"/>
  <c r="C1" i="75"/>
  <c r="K6" i="76" l="1"/>
  <c r="G15" i="76" s="1"/>
  <c r="K5" i="76"/>
  <c r="G11" i="76" s="1"/>
  <c r="K4" i="76"/>
  <c r="G6" i="76" s="1"/>
  <c r="K3" i="76"/>
  <c r="E505" i="18" l="1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F21" i="77"/>
  <c r="E21" i="77"/>
  <c r="D21" i="77"/>
  <c r="C21" i="77"/>
  <c r="D3" i="77"/>
  <c r="C3" i="77"/>
  <c r="F147" i="74"/>
  <c r="F146" i="74"/>
  <c r="F145" i="74"/>
  <c r="F144" i="74"/>
  <c r="F143" i="74"/>
  <c r="F142" i="74"/>
  <c r="F141" i="74"/>
  <c r="F140" i="74"/>
  <c r="F139" i="74"/>
  <c r="F138" i="74"/>
  <c r="F137" i="74"/>
  <c r="F136" i="74"/>
  <c r="F135" i="74"/>
  <c r="F134" i="74"/>
  <c r="F133" i="74"/>
  <c r="F132" i="74"/>
  <c r="F131" i="74"/>
  <c r="F130" i="74"/>
  <c r="F129" i="74"/>
  <c r="F128" i="74"/>
  <c r="F127" i="74"/>
  <c r="F126" i="74"/>
  <c r="F125" i="74"/>
  <c r="F124" i="74"/>
  <c r="F123" i="74"/>
  <c r="F122" i="74"/>
  <c r="F121" i="74"/>
  <c r="B121" i="74"/>
  <c r="F120" i="74"/>
  <c r="F119" i="74"/>
  <c r="F118" i="74"/>
  <c r="F117" i="74"/>
  <c r="F116" i="74"/>
  <c r="F115" i="74"/>
  <c r="F114" i="74"/>
  <c r="F113" i="74"/>
  <c r="F112" i="74"/>
  <c r="F111" i="74"/>
  <c r="F110" i="74"/>
  <c r="F109" i="74"/>
  <c r="F108" i="74"/>
  <c r="F107" i="74"/>
  <c r="F106" i="74"/>
  <c r="F105" i="74"/>
  <c r="F104" i="74"/>
  <c r="F103" i="74"/>
  <c r="F102" i="74"/>
  <c r="F101" i="74"/>
  <c r="F100" i="74"/>
  <c r="F99" i="74"/>
  <c r="E99" i="74"/>
  <c r="E147" i="74" s="1"/>
  <c r="B99" i="74"/>
  <c r="B147" i="74" s="1"/>
  <c r="A99" i="74"/>
  <c r="C99" i="74" s="1"/>
  <c r="F98" i="74"/>
  <c r="E98" i="74"/>
  <c r="E146" i="74" s="1"/>
  <c r="B98" i="74"/>
  <c r="B146" i="74" s="1"/>
  <c r="A98" i="74"/>
  <c r="C98" i="74" s="1"/>
  <c r="F97" i="74"/>
  <c r="E97" i="74"/>
  <c r="E145" i="74" s="1"/>
  <c r="B97" i="74"/>
  <c r="B145" i="74" s="1"/>
  <c r="A97" i="74"/>
  <c r="C97" i="74" s="1"/>
  <c r="F96" i="74"/>
  <c r="E96" i="74"/>
  <c r="E144" i="74" s="1"/>
  <c r="B96" i="74"/>
  <c r="B144" i="74" s="1"/>
  <c r="A96" i="74"/>
  <c r="C96" i="74" s="1"/>
  <c r="F95" i="74"/>
  <c r="E95" i="74"/>
  <c r="E143" i="74" s="1"/>
  <c r="B95" i="74"/>
  <c r="B143" i="74" s="1"/>
  <c r="A95" i="74"/>
  <c r="A143" i="74" s="1"/>
  <c r="C143" i="74" s="1"/>
  <c r="F94" i="74"/>
  <c r="E94" i="74"/>
  <c r="E142" i="74" s="1"/>
  <c r="B94" i="74"/>
  <c r="B142" i="74" s="1"/>
  <c r="A94" i="74"/>
  <c r="A142" i="74" s="1"/>
  <c r="C142" i="74" s="1"/>
  <c r="F93" i="74"/>
  <c r="E93" i="74"/>
  <c r="E141" i="74" s="1"/>
  <c r="B93" i="74"/>
  <c r="B141" i="74" s="1"/>
  <c r="A93" i="74"/>
  <c r="C93" i="74" s="1"/>
  <c r="F92" i="74"/>
  <c r="E92" i="74"/>
  <c r="E140" i="74" s="1"/>
  <c r="B92" i="74"/>
  <c r="B140" i="74" s="1"/>
  <c r="A92" i="74"/>
  <c r="A140" i="74" s="1"/>
  <c r="C140" i="74" s="1"/>
  <c r="F91" i="74"/>
  <c r="E91" i="74"/>
  <c r="E139" i="74" s="1"/>
  <c r="B91" i="74"/>
  <c r="B139" i="74" s="1"/>
  <c r="A91" i="74"/>
  <c r="A139" i="74" s="1"/>
  <c r="C139" i="74" s="1"/>
  <c r="F90" i="74"/>
  <c r="E90" i="74"/>
  <c r="E138" i="74" s="1"/>
  <c r="B90" i="74"/>
  <c r="B138" i="74" s="1"/>
  <c r="A90" i="74"/>
  <c r="A138" i="74" s="1"/>
  <c r="C138" i="74" s="1"/>
  <c r="F89" i="74"/>
  <c r="E89" i="74"/>
  <c r="E137" i="74" s="1"/>
  <c r="B89" i="74"/>
  <c r="B137" i="74" s="1"/>
  <c r="A89" i="74"/>
  <c r="C89" i="74" s="1"/>
  <c r="F88" i="74"/>
  <c r="E88" i="74"/>
  <c r="E136" i="74" s="1"/>
  <c r="B88" i="74"/>
  <c r="B136" i="74" s="1"/>
  <c r="A88" i="74"/>
  <c r="A136" i="74" s="1"/>
  <c r="C136" i="74" s="1"/>
  <c r="F87" i="74"/>
  <c r="E87" i="74"/>
  <c r="E135" i="74" s="1"/>
  <c r="B87" i="74"/>
  <c r="B135" i="74" s="1"/>
  <c r="A87" i="74"/>
  <c r="C87" i="74" s="1"/>
  <c r="F86" i="74"/>
  <c r="E86" i="74"/>
  <c r="E134" i="74" s="1"/>
  <c r="B86" i="74"/>
  <c r="B134" i="74" s="1"/>
  <c r="A86" i="74"/>
  <c r="C86" i="74" s="1"/>
  <c r="F85" i="74"/>
  <c r="E85" i="74"/>
  <c r="E133" i="74" s="1"/>
  <c r="B85" i="74"/>
  <c r="B133" i="74" s="1"/>
  <c r="A85" i="74"/>
  <c r="C85" i="74" s="1"/>
  <c r="F84" i="74"/>
  <c r="E84" i="74"/>
  <c r="E132" i="74" s="1"/>
  <c r="B84" i="74"/>
  <c r="B132" i="74" s="1"/>
  <c r="A84" i="74"/>
  <c r="C84" i="74" s="1"/>
  <c r="F83" i="74"/>
  <c r="E83" i="74"/>
  <c r="E131" i="74" s="1"/>
  <c r="B83" i="74"/>
  <c r="B131" i="74" s="1"/>
  <c r="A83" i="74"/>
  <c r="A131" i="74" s="1"/>
  <c r="C131" i="74" s="1"/>
  <c r="F82" i="74"/>
  <c r="E82" i="74"/>
  <c r="E130" i="74" s="1"/>
  <c r="B82" i="74"/>
  <c r="B130" i="74" s="1"/>
  <c r="A82" i="74"/>
  <c r="A130" i="74" s="1"/>
  <c r="C130" i="74" s="1"/>
  <c r="F81" i="74"/>
  <c r="E81" i="74"/>
  <c r="E129" i="74" s="1"/>
  <c r="B81" i="74"/>
  <c r="B129" i="74" s="1"/>
  <c r="A81" i="74"/>
  <c r="C81" i="74" s="1"/>
  <c r="F80" i="74"/>
  <c r="E80" i="74"/>
  <c r="E128" i="74" s="1"/>
  <c r="B80" i="74"/>
  <c r="B128" i="74" s="1"/>
  <c r="A80" i="74"/>
  <c r="A128" i="74" s="1"/>
  <c r="C128" i="74" s="1"/>
  <c r="F79" i="74"/>
  <c r="E79" i="74"/>
  <c r="E127" i="74" s="1"/>
  <c r="B79" i="74"/>
  <c r="B127" i="74" s="1"/>
  <c r="A79" i="74"/>
  <c r="A127" i="74" s="1"/>
  <c r="C127" i="74" s="1"/>
  <c r="F78" i="74"/>
  <c r="E78" i="74"/>
  <c r="E126" i="74" s="1"/>
  <c r="B78" i="74"/>
  <c r="B126" i="74" s="1"/>
  <c r="A78" i="74"/>
  <c r="A126" i="74" s="1"/>
  <c r="C126" i="74" s="1"/>
  <c r="F77" i="74"/>
  <c r="E77" i="74"/>
  <c r="E125" i="74" s="1"/>
  <c r="B77" i="74"/>
  <c r="B125" i="74" s="1"/>
  <c r="A77" i="74"/>
  <c r="C77" i="74" s="1"/>
  <c r="F76" i="74"/>
  <c r="E76" i="74"/>
  <c r="E124" i="74" s="1"/>
  <c r="B76" i="74"/>
  <c r="B124" i="74" s="1"/>
  <c r="A76" i="74"/>
  <c r="A124" i="74" s="1"/>
  <c r="C124" i="74" s="1"/>
  <c r="F75" i="74"/>
  <c r="E75" i="74"/>
  <c r="E123" i="74" s="1"/>
  <c r="B75" i="74"/>
  <c r="B123" i="74" s="1"/>
  <c r="A75" i="74"/>
  <c r="C75" i="74" s="1"/>
  <c r="F74" i="74"/>
  <c r="E74" i="74"/>
  <c r="E122" i="74" s="1"/>
  <c r="B74" i="74"/>
  <c r="B122" i="74" s="1"/>
  <c r="A74" i="74"/>
  <c r="C74" i="74" s="1"/>
  <c r="F73" i="74"/>
  <c r="E73" i="74"/>
  <c r="E121" i="74" s="1"/>
  <c r="B73" i="74"/>
  <c r="A73" i="74"/>
  <c r="C73" i="74" s="1"/>
  <c r="F72" i="74"/>
  <c r="E72" i="74"/>
  <c r="E120" i="74" s="1"/>
  <c r="B72" i="74"/>
  <c r="B120" i="74" s="1"/>
  <c r="A72" i="74"/>
  <c r="C72" i="74" s="1"/>
  <c r="F71" i="74"/>
  <c r="E71" i="74"/>
  <c r="E119" i="74" s="1"/>
  <c r="B71" i="74"/>
  <c r="B119" i="74" s="1"/>
  <c r="A71" i="74"/>
  <c r="A119" i="74" s="1"/>
  <c r="C119" i="74" s="1"/>
  <c r="F70" i="74"/>
  <c r="E70" i="74"/>
  <c r="E118" i="74" s="1"/>
  <c r="B70" i="74"/>
  <c r="B118" i="74" s="1"/>
  <c r="A70" i="74"/>
  <c r="A118" i="74" s="1"/>
  <c r="C118" i="74" s="1"/>
  <c r="F69" i="74"/>
  <c r="E69" i="74"/>
  <c r="E117" i="74" s="1"/>
  <c r="B69" i="74"/>
  <c r="B117" i="74" s="1"/>
  <c r="A69" i="74"/>
  <c r="C69" i="74" s="1"/>
  <c r="F68" i="74"/>
  <c r="E68" i="74"/>
  <c r="E116" i="74" s="1"/>
  <c r="B68" i="74"/>
  <c r="B116" i="74" s="1"/>
  <c r="A68" i="74"/>
  <c r="A116" i="74" s="1"/>
  <c r="C116" i="74" s="1"/>
  <c r="F67" i="74"/>
  <c r="E67" i="74"/>
  <c r="E115" i="74" s="1"/>
  <c r="B67" i="74"/>
  <c r="B115" i="74" s="1"/>
  <c r="A67" i="74"/>
  <c r="A115" i="74" s="1"/>
  <c r="C115" i="74" s="1"/>
  <c r="F66" i="74"/>
  <c r="E66" i="74"/>
  <c r="E114" i="74" s="1"/>
  <c r="B66" i="74"/>
  <c r="B114" i="74" s="1"/>
  <c r="A66" i="74"/>
  <c r="A114" i="74" s="1"/>
  <c r="C114" i="74" s="1"/>
  <c r="F65" i="74"/>
  <c r="E65" i="74"/>
  <c r="E113" i="74" s="1"/>
  <c r="B65" i="74"/>
  <c r="B113" i="74" s="1"/>
  <c r="A65" i="74"/>
  <c r="C65" i="74" s="1"/>
  <c r="F64" i="74"/>
  <c r="E64" i="74"/>
  <c r="E112" i="74" s="1"/>
  <c r="B64" i="74"/>
  <c r="B112" i="74" s="1"/>
  <c r="A64" i="74"/>
  <c r="A112" i="74" s="1"/>
  <c r="C112" i="74" s="1"/>
  <c r="F63" i="74"/>
  <c r="E63" i="74"/>
  <c r="E111" i="74" s="1"/>
  <c r="B63" i="74"/>
  <c r="B111" i="74" s="1"/>
  <c r="A63" i="74"/>
  <c r="C63" i="74" s="1"/>
  <c r="F62" i="74"/>
  <c r="E62" i="74"/>
  <c r="E110" i="74" s="1"/>
  <c r="B62" i="74"/>
  <c r="B110" i="74" s="1"/>
  <c r="A62" i="74"/>
  <c r="C62" i="74" s="1"/>
  <c r="F61" i="74"/>
  <c r="E61" i="74"/>
  <c r="E109" i="74" s="1"/>
  <c r="B61" i="74"/>
  <c r="B109" i="74" s="1"/>
  <c r="A61" i="74"/>
  <c r="C61" i="74" s="1"/>
  <c r="F60" i="74"/>
  <c r="E60" i="74"/>
  <c r="E108" i="74" s="1"/>
  <c r="B60" i="74"/>
  <c r="B108" i="74" s="1"/>
  <c r="A60" i="74"/>
  <c r="C60" i="74" s="1"/>
  <c r="F59" i="74"/>
  <c r="E59" i="74"/>
  <c r="E107" i="74" s="1"/>
  <c r="B59" i="74"/>
  <c r="B107" i="74" s="1"/>
  <c r="A59" i="74"/>
  <c r="A107" i="74" s="1"/>
  <c r="C107" i="74" s="1"/>
  <c r="F58" i="74"/>
  <c r="E58" i="74"/>
  <c r="E106" i="74" s="1"/>
  <c r="B58" i="74"/>
  <c r="B106" i="74" s="1"/>
  <c r="A58" i="74"/>
  <c r="A106" i="74" s="1"/>
  <c r="C106" i="74" s="1"/>
  <c r="F57" i="74"/>
  <c r="E57" i="74"/>
  <c r="E105" i="74" s="1"/>
  <c r="B57" i="74"/>
  <c r="B105" i="74" s="1"/>
  <c r="A57" i="74"/>
  <c r="C57" i="74" s="1"/>
  <c r="F56" i="74"/>
  <c r="E56" i="74"/>
  <c r="E104" i="74" s="1"/>
  <c r="C56" i="74"/>
  <c r="B56" i="74"/>
  <c r="B104" i="74" s="1"/>
  <c r="A56" i="74"/>
  <c r="A104" i="74" s="1"/>
  <c r="C104" i="74" s="1"/>
  <c r="F55" i="74"/>
  <c r="E55" i="74"/>
  <c r="E103" i="74" s="1"/>
  <c r="B55" i="74"/>
  <c r="B103" i="74" s="1"/>
  <c r="A55" i="74"/>
  <c r="S55" i="74" s="1"/>
  <c r="F54" i="74"/>
  <c r="E54" i="74"/>
  <c r="E102" i="74" s="1"/>
  <c r="B54" i="74"/>
  <c r="B102" i="74" s="1"/>
  <c r="A54" i="74"/>
  <c r="C54" i="74" s="1"/>
  <c r="F53" i="74"/>
  <c r="E53" i="74"/>
  <c r="E101" i="74" s="1"/>
  <c r="B53" i="74"/>
  <c r="B101" i="74" s="1"/>
  <c r="A53" i="74"/>
  <c r="C53" i="74" s="1"/>
  <c r="F52" i="74"/>
  <c r="E52" i="74"/>
  <c r="E100" i="74" s="1"/>
  <c r="B52" i="74"/>
  <c r="B100" i="74" s="1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B3" i="74"/>
  <c r="E291" i="66"/>
  <c r="E290" i="66"/>
  <c r="E289" i="66"/>
  <c r="E288" i="66"/>
  <c r="E287" i="66"/>
  <c r="E286" i="66"/>
  <c r="E285" i="66"/>
  <c r="E284" i="66"/>
  <c r="E283" i="66"/>
  <c r="E282" i="66"/>
  <c r="E281" i="66"/>
  <c r="E280" i="66"/>
  <c r="E279" i="66"/>
  <c r="E278" i="66"/>
  <c r="E277" i="66"/>
  <c r="E276" i="66"/>
  <c r="E275" i="66"/>
  <c r="E274" i="66"/>
  <c r="E273" i="66"/>
  <c r="E272" i="66"/>
  <c r="E271" i="66"/>
  <c r="E270" i="66"/>
  <c r="E269" i="66"/>
  <c r="E268" i="66"/>
  <c r="E267" i="66"/>
  <c r="E266" i="66"/>
  <c r="E265" i="66"/>
  <c r="E264" i="66"/>
  <c r="E263" i="66"/>
  <c r="E262" i="66"/>
  <c r="E261" i="66"/>
  <c r="E260" i="66"/>
  <c r="E259" i="66"/>
  <c r="E258" i="66"/>
  <c r="E257" i="66"/>
  <c r="E256" i="66"/>
  <c r="E255" i="66"/>
  <c r="E254" i="66"/>
  <c r="E253" i="66"/>
  <c r="E252" i="66"/>
  <c r="E251" i="66"/>
  <c r="E250" i="66"/>
  <c r="E249" i="66"/>
  <c r="E248" i="66"/>
  <c r="E247" i="66"/>
  <c r="E246" i="66"/>
  <c r="E245" i="66"/>
  <c r="E244" i="66"/>
  <c r="E243" i="66"/>
  <c r="B243" i="66"/>
  <c r="B291" i="66" s="1"/>
  <c r="A243" i="66"/>
  <c r="A291" i="66" s="1"/>
  <c r="I291" i="66" s="1"/>
  <c r="E242" i="66"/>
  <c r="B242" i="66"/>
  <c r="B290" i="66" s="1"/>
  <c r="A242" i="66"/>
  <c r="I242" i="66" s="1"/>
  <c r="E241" i="66"/>
  <c r="B241" i="66"/>
  <c r="B289" i="66" s="1"/>
  <c r="A241" i="66"/>
  <c r="A289" i="66" s="1"/>
  <c r="I289" i="66" s="1"/>
  <c r="E240" i="66"/>
  <c r="B240" i="66"/>
  <c r="B288" i="66" s="1"/>
  <c r="A240" i="66"/>
  <c r="A288" i="66" s="1"/>
  <c r="I288" i="66" s="1"/>
  <c r="E239" i="66"/>
  <c r="B239" i="66"/>
  <c r="B287" i="66" s="1"/>
  <c r="A239" i="66"/>
  <c r="I239" i="66" s="1"/>
  <c r="E238" i="66"/>
  <c r="B238" i="66"/>
  <c r="B286" i="66" s="1"/>
  <c r="A238" i="66"/>
  <c r="I238" i="66" s="1"/>
  <c r="E237" i="66"/>
  <c r="B237" i="66"/>
  <c r="B285" i="66" s="1"/>
  <c r="A237" i="66"/>
  <c r="I237" i="66" s="1"/>
  <c r="I236" i="66"/>
  <c r="E236" i="66"/>
  <c r="B236" i="66"/>
  <c r="B284" i="66" s="1"/>
  <c r="A236" i="66"/>
  <c r="A284" i="66" s="1"/>
  <c r="I284" i="66" s="1"/>
  <c r="E235" i="66"/>
  <c r="B235" i="66"/>
  <c r="B283" i="66" s="1"/>
  <c r="A235" i="66"/>
  <c r="I235" i="66" s="1"/>
  <c r="I234" i="66"/>
  <c r="E234" i="66"/>
  <c r="B234" i="66"/>
  <c r="B282" i="66" s="1"/>
  <c r="A234" i="66"/>
  <c r="A282" i="66" s="1"/>
  <c r="I282" i="66" s="1"/>
  <c r="E233" i="66"/>
  <c r="B233" i="66"/>
  <c r="B281" i="66" s="1"/>
  <c r="A233" i="66"/>
  <c r="A281" i="66" s="1"/>
  <c r="I281" i="66" s="1"/>
  <c r="E232" i="66"/>
  <c r="B232" i="66"/>
  <c r="B280" i="66" s="1"/>
  <c r="A232" i="66"/>
  <c r="A280" i="66" s="1"/>
  <c r="I280" i="66" s="1"/>
  <c r="I231" i="66"/>
  <c r="E231" i="66"/>
  <c r="B231" i="66"/>
  <c r="B279" i="66" s="1"/>
  <c r="A231" i="66"/>
  <c r="A279" i="66" s="1"/>
  <c r="I279" i="66" s="1"/>
  <c r="E230" i="66"/>
  <c r="B230" i="66"/>
  <c r="B278" i="66" s="1"/>
  <c r="A230" i="66"/>
  <c r="I230" i="66" s="1"/>
  <c r="E229" i="66"/>
  <c r="B229" i="66"/>
  <c r="B277" i="66" s="1"/>
  <c r="A229" i="66"/>
  <c r="A277" i="66" s="1"/>
  <c r="I277" i="66" s="1"/>
  <c r="E228" i="66"/>
  <c r="B228" i="66"/>
  <c r="B276" i="66" s="1"/>
  <c r="A228" i="66"/>
  <c r="I228" i="66" s="1"/>
  <c r="E227" i="66"/>
  <c r="B227" i="66"/>
  <c r="B275" i="66" s="1"/>
  <c r="A227" i="66"/>
  <c r="I227" i="66" s="1"/>
  <c r="E226" i="66"/>
  <c r="B226" i="66"/>
  <c r="B274" i="66" s="1"/>
  <c r="A226" i="66"/>
  <c r="I226" i="66" s="1"/>
  <c r="E225" i="66"/>
  <c r="B225" i="66"/>
  <c r="B273" i="66" s="1"/>
  <c r="A225" i="66"/>
  <c r="I225" i="66" s="1"/>
  <c r="I224" i="66"/>
  <c r="E224" i="66"/>
  <c r="B224" i="66"/>
  <c r="B272" i="66" s="1"/>
  <c r="A224" i="66"/>
  <c r="A272" i="66" s="1"/>
  <c r="I272" i="66" s="1"/>
  <c r="E223" i="66"/>
  <c r="B223" i="66"/>
  <c r="B271" i="66" s="1"/>
  <c r="A223" i="66"/>
  <c r="I223" i="66" s="1"/>
  <c r="E222" i="66"/>
  <c r="B222" i="66"/>
  <c r="B270" i="66" s="1"/>
  <c r="A222" i="66"/>
  <c r="A270" i="66" s="1"/>
  <c r="I270" i="66" s="1"/>
  <c r="E221" i="66"/>
  <c r="B221" i="66"/>
  <c r="B269" i="66" s="1"/>
  <c r="A221" i="66"/>
  <c r="A269" i="66" s="1"/>
  <c r="I269" i="66" s="1"/>
  <c r="E220" i="66"/>
  <c r="B220" i="66"/>
  <c r="B268" i="66" s="1"/>
  <c r="A220" i="66"/>
  <c r="A268" i="66" s="1"/>
  <c r="I268" i="66" s="1"/>
  <c r="E219" i="66"/>
  <c r="B219" i="66"/>
  <c r="B267" i="66" s="1"/>
  <c r="A219" i="66"/>
  <c r="A267" i="66" s="1"/>
  <c r="I267" i="66" s="1"/>
  <c r="E218" i="66"/>
  <c r="B218" i="66"/>
  <c r="B266" i="66" s="1"/>
  <c r="A218" i="66"/>
  <c r="I218" i="66" s="1"/>
  <c r="E217" i="66"/>
  <c r="B217" i="66"/>
  <c r="B265" i="66" s="1"/>
  <c r="A217" i="66"/>
  <c r="A265" i="66" s="1"/>
  <c r="I265" i="66" s="1"/>
  <c r="E216" i="66"/>
  <c r="B216" i="66"/>
  <c r="B264" i="66" s="1"/>
  <c r="A216" i="66"/>
  <c r="I216" i="66" s="1"/>
  <c r="E215" i="66"/>
  <c r="B215" i="66"/>
  <c r="B263" i="66" s="1"/>
  <c r="A215" i="66"/>
  <c r="I215" i="66" s="1"/>
  <c r="E214" i="66"/>
  <c r="B214" i="66"/>
  <c r="B262" i="66" s="1"/>
  <c r="A214" i="66"/>
  <c r="I214" i="66" s="1"/>
  <c r="E213" i="66"/>
  <c r="B213" i="66"/>
  <c r="B261" i="66" s="1"/>
  <c r="A213" i="66"/>
  <c r="I213" i="66" s="1"/>
  <c r="E212" i="66"/>
  <c r="B212" i="66"/>
  <c r="B260" i="66" s="1"/>
  <c r="A212" i="66"/>
  <c r="A260" i="66" s="1"/>
  <c r="E211" i="66"/>
  <c r="B211" i="66"/>
  <c r="B259" i="66" s="1"/>
  <c r="A211" i="66"/>
  <c r="I211" i="66" s="1"/>
  <c r="E210" i="66"/>
  <c r="B210" i="66"/>
  <c r="B258" i="66" s="1"/>
  <c r="A210" i="66"/>
  <c r="I210" i="66" s="1"/>
  <c r="E209" i="66"/>
  <c r="B209" i="66"/>
  <c r="B257" i="66" s="1"/>
  <c r="A209" i="66"/>
  <c r="I209" i="66" s="1"/>
  <c r="E208" i="66"/>
  <c r="B208" i="66"/>
  <c r="B256" i="66" s="1"/>
  <c r="A208" i="66"/>
  <c r="I208" i="66" s="1"/>
  <c r="E207" i="66"/>
  <c r="B207" i="66"/>
  <c r="B255" i="66" s="1"/>
  <c r="A207" i="66"/>
  <c r="A255" i="66" s="1"/>
  <c r="I255" i="66" s="1"/>
  <c r="E206" i="66"/>
  <c r="B206" i="66"/>
  <c r="B254" i="66" s="1"/>
  <c r="A206" i="66"/>
  <c r="I206" i="66" s="1"/>
  <c r="E205" i="66"/>
  <c r="B205" i="66"/>
  <c r="B253" i="66" s="1"/>
  <c r="A205" i="66"/>
  <c r="A253" i="66" s="1"/>
  <c r="I253" i="66" s="1"/>
  <c r="E204" i="66"/>
  <c r="B204" i="66"/>
  <c r="B252" i="66" s="1"/>
  <c r="A204" i="66"/>
  <c r="A252" i="66" s="1"/>
  <c r="I252" i="66" s="1"/>
  <c r="E203" i="66"/>
  <c r="B203" i="66"/>
  <c r="B251" i="66" s="1"/>
  <c r="A203" i="66"/>
  <c r="A251" i="66" s="1"/>
  <c r="I251" i="66" s="1"/>
  <c r="E202" i="66"/>
  <c r="B202" i="66"/>
  <c r="B250" i="66" s="1"/>
  <c r="A202" i="66"/>
  <c r="A250" i="66" s="1"/>
  <c r="I250" i="66" s="1"/>
  <c r="E201" i="66"/>
  <c r="B201" i="66"/>
  <c r="B249" i="66" s="1"/>
  <c r="A201" i="66"/>
  <c r="I201" i="66" s="1"/>
  <c r="E200" i="66"/>
  <c r="B200" i="66"/>
  <c r="B248" i="66" s="1"/>
  <c r="A200" i="66"/>
  <c r="A248" i="66" s="1"/>
  <c r="I248" i="66" s="1"/>
  <c r="E199" i="66"/>
  <c r="B199" i="66"/>
  <c r="B247" i="66" s="1"/>
  <c r="A199" i="66"/>
  <c r="S199" i="66" s="1"/>
  <c r="I198" i="66"/>
  <c r="E198" i="66"/>
  <c r="B198" i="66"/>
  <c r="B246" i="66" s="1"/>
  <c r="A198" i="66"/>
  <c r="A246" i="66" s="1"/>
  <c r="I246" i="66" s="1"/>
  <c r="I197" i="66"/>
  <c r="E197" i="66"/>
  <c r="B197" i="66"/>
  <c r="B245" i="66" s="1"/>
  <c r="A197" i="66"/>
  <c r="A245" i="66" s="1"/>
  <c r="I245" i="66" s="1"/>
  <c r="E196" i="66"/>
  <c r="B196" i="66"/>
  <c r="B244" i="66" s="1"/>
  <c r="A196" i="66"/>
  <c r="A244" i="66" s="1"/>
  <c r="I244" i="66" s="1"/>
  <c r="I195" i="66"/>
  <c r="E195" i="66"/>
  <c r="I194" i="66"/>
  <c r="E194" i="66"/>
  <c r="I193" i="66"/>
  <c r="E193" i="66"/>
  <c r="I192" i="66"/>
  <c r="E192" i="66"/>
  <c r="I191" i="66"/>
  <c r="E191" i="66"/>
  <c r="I190" i="66"/>
  <c r="E190" i="66"/>
  <c r="I189" i="66"/>
  <c r="E189" i="66"/>
  <c r="I188" i="66"/>
  <c r="E188" i="66"/>
  <c r="I187" i="66"/>
  <c r="E187" i="66"/>
  <c r="I186" i="66"/>
  <c r="E186" i="66"/>
  <c r="I185" i="66"/>
  <c r="E185" i="66"/>
  <c r="I184" i="66"/>
  <c r="E184" i="66"/>
  <c r="I183" i="66"/>
  <c r="E183" i="66"/>
  <c r="I182" i="66"/>
  <c r="E182" i="66"/>
  <c r="I181" i="66"/>
  <c r="E181" i="66"/>
  <c r="I180" i="66"/>
  <c r="E180" i="66"/>
  <c r="I179" i="66"/>
  <c r="E179" i="66"/>
  <c r="I178" i="66"/>
  <c r="E178" i="66"/>
  <c r="I177" i="66"/>
  <c r="E177" i="66"/>
  <c r="I176" i="66"/>
  <c r="E176" i="66"/>
  <c r="I175" i="66"/>
  <c r="E175" i="66"/>
  <c r="I174" i="66"/>
  <c r="E174" i="66"/>
  <c r="I173" i="66"/>
  <c r="E173" i="66"/>
  <c r="I172" i="66"/>
  <c r="E172" i="66"/>
  <c r="I171" i="66"/>
  <c r="E171" i="66"/>
  <c r="I170" i="66"/>
  <c r="E170" i="66"/>
  <c r="I169" i="66"/>
  <c r="E169" i="66"/>
  <c r="I168" i="66"/>
  <c r="E168" i="66"/>
  <c r="I167" i="66"/>
  <c r="E167" i="66"/>
  <c r="I166" i="66"/>
  <c r="E166" i="66"/>
  <c r="I165" i="66"/>
  <c r="E165" i="66"/>
  <c r="E164" i="66"/>
  <c r="I163" i="66"/>
  <c r="E163" i="66"/>
  <c r="I162" i="66"/>
  <c r="E162" i="66"/>
  <c r="I161" i="66"/>
  <c r="E161" i="66"/>
  <c r="I160" i="66"/>
  <c r="E160" i="66"/>
  <c r="I159" i="66"/>
  <c r="E159" i="66"/>
  <c r="I158" i="66"/>
  <c r="E158" i="66"/>
  <c r="I157" i="66"/>
  <c r="E157" i="66"/>
  <c r="I156" i="66"/>
  <c r="E156" i="66"/>
  <c r="I155" i="66"/>
  <c r="E155" i="66"/>
  <c r="I154" i="66"/>
  <c r="E154" i="66"/>
  <c r="I153" i="66"/>
  <c r="E153" i="66"/>
  <c r="I152" i="66"/>
  <c r="E152" i="66"/>
  <c r="S151" i="66"/>
  <c r="I151" i="66"/>
  <c r="E151" i="66"/>
  <c r="I150" i="66"/>
  <c r="E150" i="66"/>
  <c r="I149" i="66"/>
  <c r="E149" i="66"/>
  <c r="I148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E116" i="66"/>
  <c r="E115" i="66"/>
  <c r="E114" i="66"/>
  <c r="E113" i="66"/>
  <c r="E112" i="66"/>
  <c r="E111" i="66"/>
  <c r="E110" i="66"/>
  <c r="E109" i="66"/>
  <c r="E108" i="66"/>
  <c r="E107" i="66"/>
  <c r="E106" i="66"/>
  <c r="E105" i="66"/>
  <c r="E104" i="66"/>
  <c r="E103" i="66"/>
  <c r="E102" i="66"/>
  <c r="E101" i="66"/>
  <c r="E100" i="66"/>
  <c r="I99" i="66"/>
  <c r="E99" i="66"/>
  <c r="D99" i="66"/>
  <c r="D147" i="66" s="1"/>
  <c r="D195" i="66" s="1"/>
  <c r="D243" i="66" s="1"/>
  <c r="D291" i="66" s="1"/>
  <c r="B99" i="66"/>
  <c r="B147" i="66" s="1"/>
  <c r="A99" i="66"/>
  <c r="A147" i="66" s="1"/>
  <c r="I147" i="66" s="1"/>
  <c r="E98" i="66"/>
  <c r="D98" i="66"/>
  <c r="D146" i="66" s="1"/>
  <c r="D194" i="66" s="1"/>
  <c r="D242" i="66" s="1"/>
  <c r="D290" i="66" s="1"/>
  <c r="B98" i="66"/>
  <c r="B146" i="66" s="1"/>
  <c r="A98" i="66"/>
  <c r="I98" i="66" s="1"/>
  <c r="E97" i="66"/>
  <c r="D97" i="66"/>
  <c r="D145" i="66" s="1"/>
  <c r="D193" i="66" s="1"/>
  <c r="D241" i="66" s="1"/>
  <c r="D289" i="66" s="1"/>
  <c r="B97" i="66"/>
  <c r="B145" i="66" s="1"/>
  <c r="A97" i="66"/>
  <c r="A145" i="66" s="1"/>
  <c r="I145" i="66" s="1"/>
  <c r="E96" i="66"/>
  <c r="D96" i="66"/>
  <c r="D144" i="66" s="1"/>
  <c r="D192" i="66" s="1"/>
  <c r="D240" i="66" s="1"/>
  <c r="D288" i="66" s="1"/>
  <c r="B96" i="66"/>
  <c r="B144" i="66" s="1"/>
  <c r="A96" i="66"/>
  <c r="I96" i="66" s="1"/>
  <c r="E95" i="66"/>
  <c r="D95" i="66"/>
  <c r="D143" i="66" s="1"/>
  <c r="D191" i="66" s="1"/>
  <c r="D239" i="66" s="1"/>
  <c r="D287" i="66" s="1"/>
  <c r="B95" i="66"/>
  <c r="B143" i="66" s="1"/>
  <c r="A95" i="66"/>
  <c r="I95" i="66" s="1"/>
  <c r="E94" i="66"/>
  <c r="D94" i="66"/>
  <c r="D142" i="66" s="1"/>
  <c r="D190" i="66" s="1"/>
  <c r="D238" i="66" s="1"/>
  <c r="D286" i="66" s="1"/>
  <c r="B94" i="66"/>
  <c r="B142" i="66" s="1"/>
  <c r="A94" i="66"/>
  <c r="I94" i="66" s="1"/>
  <c r="E93" i="66"/>
  <c r="D93" i="66"/>
  <c r="D141" i="66" s="1"/>
  <c r="D189" i="66" s="1"/>
  <c r="D237" i="66" s="1"/>
  <c r="D285" i="66" s="1"/>
  <c r="B93" i="66"/>
  <c r="B141" i="66" s="1"/>
  <c r="A93" i="66"/>
  <c r="I93" i="66" s="1"/>
  <c r="E92" i="66"/>
  <c r="D92" i="66"/>
  <c r="D140" i="66" s="1"/>
  <c r="D188" i="66" s="1"/>
  <c r="D236" i="66" s="1"/>
  <c r="D284" i="66" s="1"/>
  <c r="B92" i="66"/>
  <c r="B140" i="66" s="1"/>
  <c r="A92" i="66"/>
  <c r="A140" i="66" s="1"/>
  <c r="I140" i="66" s="1"/>
  <c r="E91" i="66"/>
  <c r="D91" i="66"/>
  <c r="D139" i="66" s="1"/>
  <c r="D187" i="66" s="1"/>
  <c r="D235" i="66" s="1"/>
  <c r="D283" i="66" s="1"/>
  <c r="B91" i="66"/>
  <c r="B139" i="66" s="1"/>
  <c r="A91" i="66"/>
  <c r="I91" i="66" s="1"/>
  <c r="I90" i="66"/>
  <c r="E90" i="66"/>
  <c r="D90" i="66"/>
  <c r="D138" i="66" s="1"/>
  <c r="D186" i="66" s="1"/>
  <c r="D234" i="66" s="1"/>
  <c r="D282" i="66" s="1"/>
  <c r="B90" i="66"/>
  <c r="B138" i="66" s="1"/>
  <c r="A90" i="66"/>
  <c r="A138" i="66" s="1"/>
  <c r="I138" i="66" s="1"/>
  <c r="E89" i="66"/>
  <c r="D89" i="66"/>
  <c r="D137" i="66" s="1"/>
  <c r="D185" i="66" s="1"/>
  <c r="D233" i="66" s="1"/>
  <c r="D281" i="66" s="1"/>
  <c r="B89" i="66"/>
  <c r="B137" i="66" s="1"/>
  <c r="A89" i="66"/>
  <c r="A137" i="66" s="1"/>
  <c r="I137" i="66" s="1"/>
  <c r="I88" i="66"/>
  <c r="E88" i="66"/>
  <c r="D88" i="66"/>
  <c r="D136" i="66" s="1"/>
  <c r="D184" i="66" s="1"/>
  <c r="D232" i="66" s="1"/>
  <c r="D280" i="66" s="1"/>
  <c r="B88" i="66"/>
  <c r="B136" i="66" s="1"/>
  <c r="A88" i="66"/>
  <c r="A136" i="66" s="1"/>
  <c r="I136" i="66" s="1"/>
  <c r="E87" i="66"/>
  <c r="D87" i="66"/>
  <c r="D135" i="66" s="1"/>
  <c r="D183" i="66" s="1"/>
  <c r="D231" i="66" s="1"/>
  <c r="D279" i="66" s="1"/>
  <c r="B87" i="66"/>
  <c r="B135" i="66" s="1"/>
  <c r="A87" i="66"/>
  <c r="A135" i="66" s="1"/>
  <c r="I135" i="66" s="1"/>
  <c r="E86" i="66"/>
  <c r="D86" i="66"/>
  <c r="D134" i="66" s="1"/>
  <c r="D182" i="66" s="1"/>
  <c r="D230" i="66" s="1"/>
  <c r="D278" i="66" s="1"/>
  <c r="B86" i="66"/>
  <c r="B134" i="66" s="1"/>
  <c r="A86" i="66"/>
  <c r="I86" i="66" s="1"/>
  <c r="E85" i="66"/>
  <c r="D85" i="66"/>
  <c r="D133" i="66" s="1"/>
  <c r="D181" i="66" s="1"/>
  <c r="D229" i="66" s="1"/>
  <c r="D277" i="66" s="1"/>
  <c r="B85" i="66"/>
  <c r="B133" i="66" s="1"/>
  <c r="A85" i="66"/>
  <c r="A133" i="66" s="1"/>
  <c r="I133" i="66" s="1"/>
  <c r="E84" i="66"/>
  <c r="D84" i="66"/>
  <c r="D132" i="66" s="1"/>
  <c r="D180" i="66" s="1"/>
  <c r="D228" i="66" s="1"/>
  <c r="D276" i="66" s="1"/>
  <c r="B84" i="66"/>
  <c r="B132" i="66" s="1"/>
  <c r="A84" i="66"/>
  <c r="A132" i="66" s="1"/>
  <c r="I132" i="66" s="1"/>
  <c r="E83" i="66"/>
  <c r="D83" i="66"/>
  <c r="D131" i="66" s="1"/>
  <c r="D179" i="66" s="1"/>
  <c r="D227" i="66" s="1"/>
  <c r="D275" i="66" s="1"/>
  <c r="B83" i="66"/>
  <c r="B131" i="66" s="1"/>
  <c r="A83" i="66"/>
  <c r="I83" i="66" s="1"/>
  <c r="E82" i="66"/>
  <c r="D82" i="66"/>
  <c r="D130" i="66" s="1"/>
  <c r="D178" i="66" s="1"/>
  <c r="D226" i="66" s="1"/>
  <c r="D274" i="66" s="1"/>
  <c r="B82" i="66"/>
  <c r="B130" i="66" s="1"/>
  <c r="A82" i="66"/>
  <c r="I82" i="66" s="1"/>
  <c r="E81" i="66"/>
  <c r="D81" i="66"/>
  <c r="D129" i="66" s="1"/>
  <c r="D177" i="66" s="1"/>
  <c r="D225" i="66" s="1"/>
  <c r="D273" i="66" s="1"/>
  <c r="B81" i="66"/>
  <c r="B129" i="66" s="1"/>
  <c r="A81" i="66"/>
  <c r="I81" i="66" s="1"/>
  <c r="E80" i="66"/>
  <c r="D80" i="66"/>
  <c r="D128" i="66" s="1"/>
  <c r="D176" i="66" s="1"/>
  <c r="D224" i="66" s="1"/>
  <c r="D272" i="66" s="1"/>
  <c r="B80" i="66"/>
  <c r="B128" i="66" s="1"/>
  <c r="A80" i="66"/>
  <c r="A128" i="66" s="1"/>
  <c r="I128" i="66" s="1"/>
  <c r="E79" i="66"/>
  <c r="D79" i="66"/>
  <c r="D127" i="66" s="1"/>
  <c r="D175" i="66" s="1"/>
  <c r="D223" i="66" s="1"/>
  <c r="D271" i="66" s="1"/>
  <c r="B79" i="66"/>
  <c r="B127" i="66" s="1"/>
  <c r="A79" i="66"/>
  <c r="I79" i="66" s="1"/>
  <c r="E78" i="66"/>
  <c r="D78" i="66"/>
  <c r="D126" i="66" s="1"/>
  <c r="D174" i="66" s="1"/>
  <c r="D222" i="66" s="1"/>
  <c r="D270" i="66" s="1"/>
  <c r="B78" i="66"/>
  <c r="B126" i="66" s="1"/>
  <c r="A78" i="66"/>
  <c r="A126" i="66" s="1"/>
  <c r="I126" i="66" s="1"/>
  <c r="I77" i="66"/>
  <c r="E77" i="66"/>
  <c r="D77" i="66"/>
  <c r="D125" i="66" s="1"/>
  <c r="D173" i="66" s="1"/>
  <c r="D221" i="66" s="1"/>
  <c r="D269" i="66" s="1"/>
  <c r="B77" i="66"/>
  <c r="B125" i="66" s="1"/>
  <c r="A77" i="66"/>
  <c r="A125" i="66" s="1"/>
  <c r="I125" i="66" s="1"/>
  <c r="E76" i="66"/>
  <c r="D76" i="66"/>
  <c r="D124" i="66" s="1"/>
  <c r="D172" i="66" s="1"/>
  <c r="D220" i="66" s="1"/>
  <c r="D268" i="66" s="1"/>
  <c r="B76" i="66"/>
  <c r="B124" i="66" s="1"/>
  <c r="A76" i="66"/>
  <c r="A124" i="66" s="1"/>
  <c r="I124" i="66" s="1"/>
  <c r="E75" i="66"/>
  <c r="D75" i="66"/>
  <c r="D123" i="66" s="1"/>
  <c r="D171" i="66" s="1"/>
  <c r="D219" i="66" s="1"/>
  <c r="D267" i="66" s="1"/>
  <c r="B75" i="66"/>
  <c r="B123" i="66" s="1"/>
  <c r="A75" i="66"/>
  <c r="A123" i="66" s="1"/>
  <c r="I123" i="66" s="1"/>
  <c r="E74" i="66"/>
  <c r="D74" i="66"/>
  <c r="D122" i="66" s="1"/>
  <c r="D170" i="66" s="1"/>
  <c r="D218" i="66" s="1"/>
  <c r="D266" i="66" s="1"/>
  <c r="B74" i="66"/>
  <c r="B122" i="66" s="1"/>
  <c r="A74" i="66"/>
  <c r="I74" i="66" s="1"/>
  <c r="E73" i="66"/>
  <c r="D73" i="66"/>
  <c r="D121" i="66" s="1"/>
  <c r="D169" i="66" s="1"/>
  <c r="D217" i="66" s="1"/>
  <c r="D265" i="66" s="1"/>
  <c r="B73" i="66"/>
  <c r="B121" i="66" s="1"/>
  <c r="A73" i="66"/>
  <c r="A121" i="66" s="1"/>
  <c r="I121" i="66" s="1"/>
  <c r="E72" i="66"/>
  <c r="D72" i="66"/>
  <c r="D120" i="66" s="1"/>
  <c r="D168" i="66" s="1"/>
  <c r="D216" i="66" s="1"/>
  <c r="D264" i="66" s="1"/>
  <c r="B72" i="66"/>
  <c r="B120" i="66" s="1"/>
  <c r="A72" i="66"/>
  <c r="A120" i="66" s="1"/>
  <c r="I120" i="66" s="1"/>
  <c r="E71" i="66"/>
  <c r="D71" i="66"/>
  <c r="D119" i="66" s="1"/>
  <c r="D167" i="66" s="1"/>
  <c r="D215" i="66" s="1"/>
  <c r="D263" i="66" s="1"/>
  <c r="B71" i="66"/>
  <c r="B119" i="66" s="1"/>
  <c r="A71" i="66"/>
  <c r="I71" i="66" s="1"/>
  <c r="E70" i="66"/>
  <c r="D70" i="66"/>
  <c r="D118" i="66" s="1"/>
  <c r="D166" i="66" s="1"/>
  <c r="D214" i="66" s="1"/>
  <c r="D262" i="66" s="1"/>
  <c r="B70" i="66"/>
  <c r="B118" i="66" s="1"/>
  <c r="A70" i="66"/>
  <c r="I70" i="66" s="1"/>
  <c r="E69" i="66"/>
  <c r="D69" i="66"/>
  <c r="D117" i="66" s="1"/>
  <c r="D165" i="66" s="1"/>
  <c r="D213" i="66" s="1"/>
  <c r="D261" i="66" s="1"/>
  <c r="B69" i="66"/>
  <c r="B117" i="66" s="1"/>
  <c r="A69" i="66"/>
  <c r="I69" i="66" s="1"/>
  <c r="E68" i="66"/>
  <c r="D68" i="66"/>
  <c r="D116" i="66" s="1"/>
  <c r="D164" i="66" s="1"/>
  <c r="D212" i="66" s="1"/>
  <c r="D260" i="66" s="1"/>
  <c r="B68" i="66"/>
  <c r="B116" i="66" s="1"/>
  <c r="A68" i="66"/>
  <c r="A116" i="66" s="1"/>
  <c r="E67" i="66"/>
  <c r="D67" i="66"/>
  <c r="D115" i="66" s="1"/>
  <c r="D163" i="66" s="1"/>
  <c r="D211" i="66" s="1"/>
  <c r="D259" i="66" s="1"/>
  <c r="B67" i="66"/>
  <c r="B115" i="66" s="1"/>
  <c r="A67" i="66"/>
  <c r="I67" i="66" s="1"/>
  <c r="E66" i="66"/>
  <c r="D66" i="66"/>
  <c r="D114" i="66" s="1"/>
  <c r="D162" i="66" s="1"/>
  <c r="D210" i="66" s="1"/>
  <c r="D258" i="66" s="1"/>
  <c r="B66" i="66"/>
  <c r="B114" i="66" s="1"/>
  <c r="A66" i="66"/>
  <c r="I66" i="66" s="1"/>
  <c r="E65" i="66"/>
  <c r="D65" i="66"/>
  <c r="D113" i="66" s="1"/>
  <c r="D161" i="66" s="1"/>
  <c r="D209" i="66" s="1"/>
  <c r="D257" i="66" s="1"/>
  <c r="B65" i="66"/>
  <c r="B113" i="66" s="1"/>
  <c r="A65" i="66"/>
  <c r="I65" i="66" s="1"/>
  <c r="E64" i="66"/>
  <c r="D64" i="66"/>
  <c r="D112" i="66" s="1"/>
  <c r="D160" i="66" s="1"/>
  <c r="D208" i="66" s="1"/>
  <c r="D256" i="66" s="1"/>
  <c r="B64" i="66"/>
  <c r="B112" i="66" s="1"/>
  <c r="A64" i="66"/>
  <c r="I64" i="66" s="1"/>
  <c r="I63" i="66"/>
  <c r="E63" i="66"/>
  <c r="D63" i="66"/>
  <c r="D111" i="66" s="1"/>
  <c r="D159" i="66" s="1"/>
  <c r="D207" i="66" s="1"/>
  <c r="D255" i="66" s="1"/>
  <c r="B63" i="66"/>
  <c r="B111" i="66" s="1"/>
  <c r="A63" i="66"/>
  <c r="A111" i="66" s="1"/>
  <c r="I111" i="66" s="1"/>
  <c r="E62" i="66"/>
  <c r="D62" i="66"/>
  <c r="D110" i="66" s="1"/>
  <c r="D158" i="66" s="1"/>
  <c r="D206" i="66" s="1"/>
  <c r="D254" i="66" s="1"/>
  <c r="B62" i="66"/>
  <c r="B110" i="66" s="1"/>
  <c r="A62" i="66"/>
  <c r="I62" i="66" s="1"/>
  <c r="E61" i="66"/>
  <c r="D61" i="66"/>
  <c r="D109" i="66" s="1"/>
  <c r="D157" i="66" s="1"/>
  <c r="D205" i="66" s="1"/>
  <c r="D253" i="66" s="1"/>
  <c r="B61" i="66"/>
  <c r="B109" i="66" s="1"/>
  <c r="A61" i="66"/>
  <c r="A109" i="66" s="1"/>
  <c r="I109" i="66" s="1"/>
  <c r="E60" i="66"/>
  <c r="D60" i="66"/>
  <c r="D108" i="66" s="1"/>
  <c r="D156" i="66" s="1"/>
  <c r="D204" i="66" s="1"/>
  <c r="D252" i="66" s="1"/>
  <c r="B60" i="66"/>
  <c r="B108" i="66" s="1"/>
  <c r="A60" i="66"/>
  <c r="A108" i="66" s="1"/>
  <c r="I108" i="66" s="1"/>
  <c r="E59" i="66"/>
  <c r="D59" i="66"/>
  <c r="D107" i="66" s="1"/>
  <c r="D155" i="66" s="1"/>
  <c r="D203" i="66" s="1"/>
  <c r="D251" i="66" s="1"/>
  <c r="B59" i="66"/>
  <c r="B107" i="66" s="1"/>
  <c r="A59" i="66"/>
  <c r="A107" i="66" s="1"/>
  <c r="I107" i="66" s="1"/>
  <c r="I58" i="66"/>
  <c r="E58" i="66"/>
  <c r="D58" i="66"/>
  <c r="D106" i="66" s="1"/>
  <c r="D154" i="66" s="1"/>
  <c r="D202" i="66" s="1"/>
  <c r="D250" i="66" s="1"/>
  <c r="B58" i="66"/>
  <c r="B106" i="66" s="1"/>
  <c r="A58" i="66"/>
  <c r="A106" i="66" s="1"/>
  <c r="I106" i="66" s="1"/>
  <c r="E57" i="66"/>
  <c r="D57" i="66"/>
  <c r="D105" i="66" s="1"/>
  <c r="D153" i="66" s="1"/>
  <c r="D201" i="66" s="1"/>
  <c r="D249" i="66" s="1"/>
  <c r="B57" i="66"/>
  <c r="B105" i="66" s="1"/>
  <c r="A57" i="66"/>
  <c r="I57" i="66" s="1"/>
  <c r="E56" i="66"/>
  <c r="D56" i="66"/>
  <c r="D104" i="66" s="1"/>
  <c r="D152" i="66" s="1"/>
  <c r="D200" i="66" s="1"/>
  <c r="D248" i="66" s="1"/>
  <c r="B56" i="66"/>
  <c r="B104" i="66" s="1"/>
  <c r="A56" i="66"/>
  <c r="A104" i="66" s="1"/>
  <c r="I104" i="66" s="1"/>
  <c r="E55" i="66"/>
  <c r="D55" i="66"/>
  <c r="D103" i="66" s="1"/>
  <c r="D151" i="66" s="1"/>
  <c r="D199" i="66" s="1"/>
  <c r="D247" i="66" s="1"/>
  <c r="B55" i="66"/>
  <c r="B103" i="66" s="1"/>
  <c r="A55" i="66"/>
  <c r="S55" i="66" s="1"/>
  <c r="I54" i="66"/>
  <c r="E54" i="66"/>
  <c r="D54" i="66"/>
  <c r="D102" i="66" s="1"/>
  <c r="D150" i="66" s="1"/>
  <c r="D198" i="66" s="1"/>
  <c r="D246" i="66" s="1"/>
  <c r="B54" i="66"/>
  <c r="B102" i="66" s="1"/>
  <c r="A54" i="66"/>
  <c r="A102" i="66" s="1"/>
  <c r="I102" i="66" s="1"/>
  <c r="I53" i="66"/>
  <c r="E53" i="66"/>
  <c r="D53" i="66"/>
  <c r="D101" i="66" s="1"/>
  <c r="D149" i="66" s="1"/>
  <c r="D197" i="66" s="1"/>
  <c r="D245" i="66" s="1"/>
  <c r="B53" i="66"/>
  <c r="B101" i="66" s="1"/>
  <c r="A53" i="66"/>
  <c r="A101" i="66" s="1"/>
  <c r="I101" i="66" s="1"/>
  <c r="E52" i="66"/>
  <c r="D52" i="66"/>
  <c r="D100" i="66" s="1"/>
  <c r="D148" i="66" s="1"/>
  <c r="D196" i="66" s="1"/>
  <c r="D244" i="66" s="1"/>
  <c r="B52" i="66"/>
  <c r="B100" i="66" s="1"/>
  <c r="A52" i="66"/>
  <c r="A100" i="66" s="1"/>
  <c r="I100" i="66" s="1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I55" i="39"/>
  <c r="N55" i="39" s="1"/>
  <c r="F55" i="39"/>
  <c r="A55" i="39"/>
  <c r="I54" i="39"/>
  <c r="N54" i="39" s="1"/>
  <c r="F54" i="39"/>
  <c r="A54" i="39"/>
  <c r="M53" i="39"/>
  <c r="L53" i="39"/>
  <c r="K53" i="39"/>
  <c r="I53" i="39"/>
  <c r="N53" i="39" s="1"/>
  <c r="F53" i="39"/>
  <c r="E53" i="39"/>
  <c r="D53" i="39"/>
  <c r="C53" i="39"/>
  <c r="A53" i="39"/>
  <c r="I52" i="39"/>
  <c r="N52" i="39" s="1"/>
  <c r="F52" i="39"/>
  <c r="A52" i="39"/>
  <c r="I51" i="39"/>
  <c r="N51" i="39" s="1"/>
  <c r="F51" i="39"/>
  <c r="A51" i="39"/>
  <c r="N50" i="39"/>
  <c r="I50" i="39"/>
  <c r="F50" i="39"/>
  <c r="A50" i="39"/>
  <c r="I49" i="39"/>
  <c r="N49" i="39" s="1"/>
  <c r="F49" i="39"/>
  <c r="A49" i="39"/>
  <c r="N48" i="39"/>
  <c r="I48" i="39"/>
  <c r="F48" i="39"/>
  <c r="A48" i="39"/>
  <c r="N47" i="39"/>
  <c r="I47" i="39"/>
  <c r="F47" i="39"/>
  <c r="A47" i="39"/>
  <c r="I46" i="39"/>
  <c r="N46" i="39" s="1"/>
  <c r="F46" i="39"/>
  <c r="A46" i="39"/>
  <c r="N45" i="39"/>
  <c r="I45" i="39"/>
  <c r="F45" i="39"/>
  <c r="A45" i="39"/>
  <c r="N44" i="39"/>
  <c r="I44" i="39"/>
  <c r="F44" i="39"/>
  <c r="A44" i="39"/>
  <c r="I43" i="39"/>
  <c r="N43" i="39" s="1"/>
  <c r="F43" i="39"/>
  <c r="A43" i="39"/>
  <c r="N42" i="39"/>
  <c r="I42" i="39"/>
  <c r="F42" i="39"/>
  <c r="A42" i="39"/>
  <c r="N41" i="39"/>
  <c r="I41" i="39"/>
  <c r="F41" i="39"/>
  <c r="A41" i="39"/>
  <c r="I40" i="39"/>
  <c r="N40" i="39" s="1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E11" i="34" s="1"/>
  <c r="A10" i="34"/>
  <c r="C10" i="34" s="1"/>
  <c r="A9" i="34"/>
  <c r="C9" i="34" s="1"/>
  <c r="A8" i="34"/>
  <c r="C193" i="38" s="1"/>
  <c r="C208" i="38" s="1"/>
  <c r="A7" i="34"/>
  <c r="C192" i="38" s="1"/>
  <c r="C207" i="38" s="1"/>
  <c r="C222" i="38" s="1"/>
  <c r="A6" i="34"/>
  <c r="C6" i="34" s="1"/>
  <c r="A5" i="34"/>
  <c r="C190" i="38" s="1"/>
  <c r="C205" i="38" s="1"/>
  <c r="C220" i="38" s="1"/>
  <c r="A4" i="34"/>
  <c r="C4" i="34" s="1"/>
  <c r="A3" i="34"/>
  <c r="C3" i="34" s="1"/>
  <c r="E2" i="34"/>
  <c r="D2" i="34"/>
  <c r="C2" i="34"/>
  <c r="G31" i="76"/>
  <c r="D31" i="76"/>
  <c r="G30" i="76"/>
  <c r="D30" i="76"/>
  <c r="G29" i="76"/>
  <c r="D29" i="76"/>
  <c r="G28" i="76"/>
  <c r="D28" i="76"/>
  <c r="G27" i="76"/>
  <c r="D27" i="76"/>
  <c r="G26" i="76"/>
  <c r="D26" i="76"/>
  <c r="G25" i="76"/>
  <c r="D25" i="76"/>
  <c r="G24" i="76"/>
  <c r="D24" i="76"/>
  <c r="G23" i="76"/>
  <c r="D23" i="76"/>
  <c r="G22" i="76"/>
  <c r="D22" i="76"/>
  <c r="G21" i="76"/>
  <c r="D21" i="76"/>
  <c r="G20" i="76"/>
  <c r="D20" i="76"/>
  <c r="G19" i="76"/>
  <c r="D19" i="76"/>
  <c r="G18" i="76"/>
  <c r="D18" i="76"/>
  <c r="D17" i="76"/>
  <c r="D16" i="76"/>
  <c r="D15" i="76"/>
  <c r="G14" i="76"/>
  <c r="G13" i="76" s="1"/>
  <c r="F13" i="76" s="1"/>
  <c r="D14" i="76"/>
  <c r="D13" i="76"/>
  <c r="D12" i="76"/>
  <c r="D11" i="76"/>
  <c r="D10" i="76"/>
  <c r="D9" i="76"/>
  <c r="D8" i="76"/>
  <c r="D7" i="76"/>
  <c r="D6" i="76"/>
  <c r="D5" i="76"/>
  <c r="G4" i="76"/>
  <c r="G5" i="76" s="1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E12" i="17"/>
  <c r="E10" i="17"/>
  <c r="D10" i="17"/>
  <c r="C10" i="17"/>
  <c r="D5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7" i="70"/>
  <c r="Q36" i="70"/>
  <c r="Q38" i="70"/>
  <c r="C82" i="74" l="1"/>
  <c r="I75" i="66"/>
  <c r="I80" i="66"/>
  <c r="I202" i="66"/>
  <c r="I205" i="66"/>
  <c r="I220" i="66"/>
  <c r="I61" i="66"/>
  <c r="A115" i="66"/>
  <c r="I115" i="66" s="1"/>
  <c r="I78" i="66"/>
  <c r="I89" i="66"/>
  <c r="I196" i="66"/>
  <c r="I59" i="66"/>
  <c r="I203" i="66"/>
  <c r="I221" i="66"/>
  <c r="I76" i="66"/>
  <c r="I87" i="66"/>
  <c r="I92" i="66"/>
  <c r="I232" i="66"/>
  <c r="I243" i="66"/>
  <c r="I207" i="66"/>
  <c r="I52" i="66"/>
  <c r="I204" i="66"/>
  <c r="I219" i="66"/>
  <c r="I222" i="66"/>
  <c r="I60" i="66"/>
  <c r="I233" i="66"/>
  <c r="C71" i="74"/>
  <c r="C91" i="74"/>
  <c r="C83" i="74"/>
  <c r="C52" i="74"/>
  <c r="C76" i="74"/>
  <c r="C80" i="74"/>
  <c r="C94" i="74"/>
  <c r="C64" i="74"/>
  <c r="D16" i="34"/>
  <c r="A114" i="66"/>
  <c r="I114" i="66" s="1"/>
  <c r="A119" i="66"/>
  <c r="I119" i="66" s="1"/>
  <c r="A131" i="66"/>
  <c r="I131" i="66" s="1"/>
  <c r="A143" i="66"/>
  <c r="I143" i="66" s="1"/>
  <c r="A258" i="66"/>
  <c r="I258" i="66" s="1"/>
  <c r="A263" i="66"/>
  <c r="I263" i="66" s="1"/>
  <c r="A275" i="66"/>
  <c r="I275" i="66" s="1"/>
  <c r="A287" i="66"/>
  <c r="I287" i="66" s="1"/>
  <c r="I56" i="66"/>
  <c r="I73" i="66"/>
  <c r="I85" i="66"/>
  <c r="I97" i="66"/>
  <c r="A112" i="66"/>
  <c r="I112" i="66" s="1"/>
  <c r="A117" i="66"/>
  <c r="I117" i="66" s="1"/>
  <c r="A129" i="66"/>
  <c r="I129" i="66" s="1"/>
  <c r="A141" i="66"/>
  <c r="I141" i="66" s="1"/>
  <c r="I200" i="66"/>
  <c r="I217" i="66"/>
  <c r="I229" i="66"/>
  <c r="I241" i="66"/>
  <c r="A256" i="66"/>
  <c r="I256" i="66" s="1"/>
  <c r="A261" i="66"/>
  <c r="I261" i="66" s="1"/>
  <c r="A273" i="66"/>
  <c r="I273" i="66" s="1"/>
  <c r="A285" i="66"/>
  <c r="I285" i="66" s="1"/>
  <c r="A105" i="66"/>
  <c r="I105" i="66" s="1"/>
  <c r="A122" i="66"/>
  <c r="I122" i="66" s="1"/>
  <c r="A134" i="66"/>
  <c r="I134" i="66" s="1"/>
  <c r="A146" i="66"/>
  <c r="I146" i="66" s="1"/>
  <c r="A249" i="66"/>
  <c r="I249" i="66" s="1"/>
  <c r="A266" i="66"/>
  <c r="I266" i="66" s="1"/>
  <c r="A278" i="66"/>
  <c r="I278" i="66" s="1"/>
  <c r="A290" i="66"/>
  <c r="I290" i="66" s="1"/>
  <c r="A103" i="66"/>
  <c r="A110" i="66"/>
  <c r="I110" i="66" s="1"/>
  <c r="A127" i="66"/>
  <c r="I127" i="66" s="1"/>
  <c r="A139" i="66"/>
  <c r="I139" i="66" s="1"/>
  <c r="A247" i="66"/>
  <c r="A254" i="66"/>
  <c r="I254" i="66" s="1"/>
  <c r="A271" i="66"/>
  <c r="I271" i="66" s="1"/>
  <c r="A283" i="66"/>
  <c r="I283" i="66" s="1"/>
  <c r="A144" i="66"/>
  <c r="I144" i="66" s="1"/>
  <c r="A264" i="66"/>
  <c r="I264" i="66" s="1"/>
  <c r="A276" i="66"/>
  <c r="I276" i="66" s="1"/>
  <c r="A113" i="66"/>
  <c r="I113" i="66" s="1"/>
  <c r="A118" i="66"/>
  <c r="I118" i="66" s="1"/>
  <c r="A130" i="66"/>
  <c r="I130" i="66" s="1"/>
  <c r="A142" i="66"/>
  <c r="I142" i="66" s="1"/>
  <c r="A257" i="66"/>
  <c r="I257" i="66" s="1"/>
  <c r="A262" i="66"/>
  <c r="I262" i="66" s="1"/>
  <c r="A274" i="66"/>
  <c r="I274" i="66" s="1"/>
  <c r="A286" i="66"/>
  <c r="I286" i="66" s="1"/>
  <c r="I55" i="66"/>
  <c r="I199" i="66"/>
  <c r="A259" i="66"/>
  <c r="I259" i="66" s="1"/>
  <c r="I72" i="66"/>
  <c r="I84" i="66"/>
  <c r="I240" i="66"/>
  <c r="G7" i="76"/>
  <c r="G50" i="39"/>
  <c r="C58" i="74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G9" i="76"/>
  <c r="C198" i="38"/>
  <c r="C213" i="38" s="1"/>
  <c r="C228" i="38" s="1"/>
  <c r="C243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O53" i="39"/>
  <c r="C7" i="34"/>
  <c r="D7" i="34" s="1"/>
  <c r="P19" i="39"/>
  <c r="Q19" i="39" s="1"/>
  <c r="O52" i="39"/>
  <c r="O43" i="39"/>
  <c r="G48" i="39"/>
  <c r="C194" i="38"/>
  <c r="C209" i="38" s="1"/>
  <c r="C224" i="38" s="1"/>
  <c r="O46" i="39"/>
  <c r="P18" i="39"/>
  <c r="Q18" i="39" s="1"/>
  <c r="G49" i="39"/>
  <c r="G55" i="39"/>
  <c r="J8" i="58"/>
  <c r="I8" i="58"/>
  <c r="I9" i="58"/>
  <c r="G240" i="66" s="1"/>
  <c r="I10" i="58"/>
  <c r="I7" i="37"/>
  <c r="G80" i="66" s="1"/>
  <c r="H9" i="58"/>
  <c r="G192" i="66" s="1"/>
  <c r="H25" i="37"/>
  <c r="H7" i="37"/>
  <c r="G32" i="66" s="1"/>
  <c r="J10" i="58"/>
  <c r="I6" i="37"/>
  <c r="J7" i="37"/>
  <c r="G128" i="66" s="1"/>
  <c r="H6" i="37"/>
  <c r="E10" i="34"/>
  <c r="D10" i="34" s="1"/>
  <c r="A9" i="53"/>
  <c r="C286" i="38"/>
  <c r="C298" i="38" s="1"/>
  <c r="C292" i="38"/>
  <c r="C304" i="38" s="1"/>
  <c r="D4" i="34"/>
  <c r="C288" i="38"/>
  <c r="C294" i="38"/>
  <c r="C188" i="38"/>
  <c r="C203" i="38" s="1"/>
  <c r="A16" i="41"/>
  <c r="O42" i="39"/>
  <c r="I7" i="58"/>
  <c r="G224" i="66" s="1"/>
  <c r="E95" i="72"/>
  <c r="P22" i="39"/>
  <c r="Q22" i="39" s="1"/>
  <c r="P24" i="39"/>
  <c r="Q24" i="39" s="1"/>
  <c r="G54" i="39"/>
  <c r="C189" i="38"/>
  <c r="C204" i="38" s="1"/>
  <c r="C195" i="38"/>
  <c r="C210" i="38" s="1"/>
  <c r="C225" i="38" s="1"/>
  <c r="C201" i="38"/>
  <c r="C216" i="38" s="1"/>
  <c r="A4" i="53"/>
  <c r="A10" i="53" s="1"/>
  <c r="A16" i="53" s="1"/>
  <c r="H5" i="37"/>
  <c r="G21" i="66" s="1"/>
  <c r="J6" i="37"/>
  <c r="D437" i="41"/>
  <c r="C274" i="66" s="1"/>
  <c r="P274" i="66" s="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E64" i="72"/>
  <c r="C196" i="38"/>
  <c r="C211" i="38" s="1"/>
  <c r="C226" i="38" s="1"/>
  <c r="C241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12" i="53" s="1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H5" i="58"/>
  <c r="I5" i="58"/>
  <c r="G219" i="66"/>
  <c r="G160" i="66"/>
  <c r="G214" i="66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C306" i="38"/>
  <c r="D9" i="34"/>
  <c r="J25" i="9"/>
  <c r="J29" i="9"/>
  <c r="F12" i="76"/>
  <c r="F21" i="76"/>
  <c r="F25" i="76"/>
  <c r="D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18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31" i="38"/>
  <c r="C239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310" i="38"/>
  <c r="C285" i="38"/>
  <c r="C295" i="38"/>
  <c r="C307" i="38" s="1"/>
  <c r="C319" i="38" s="1"/>
  <c r="C331" i="38" s="1"/>
  <c r="C343" i="38" s="1"/>
  <c r="E44" i="38"/>
  <c r="C300" i="38"/>
  <c r="A15" i="53"/>
  <c r="G27" i="66"/>
  <c r="G22" i="66"/>
  <c r="I19" i="74"/>
  <c r="G75" i="66"/>
  <c r="G112" i="66"/>
  <c r="I137" i="74"/>
  <c r="G118" i="66"/>
  <c r="I14" i="74"/>
  <c r="G171" i="66"/>
  <c r="G267" i="66"/>
  <c r="G256" i="66"/>
  <c r="I71" i="74"/>
  <c r="I6" i="74"/>
  <c r="I57" i="74"/>
  <c r="P3" i="18"/>
  <c r="X4" i="20"/>
  <c r="I125" i="74"/>
  <c r="I107" i="74"/>
  <c r="I104" i="74"/>
  <c r="P12" i="18"/>
  <c r="X7" i="20"/>
  <c r="P13" i="18"/>
  <c r="C26" i="20"/>
  <c r="X8" i="20"/>
  <c r="F16" i="63"/>
  <c r="F26" i="63" s="1"/>
  <c r="F36" i="63" s="1"/>
  <c r="F46" i="63" s="1"/>
  <c r="F56" i="63" s="1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I123" i="74"/>
  <c r="C24" i="20"/>
  <c r="P11" i="18"/>
  <c r="I147" i="74" l="1"/>
  <c r="I94" i="74"/>
  <c r="I62" i="74"/>
  <c r="I7" i="74"/>
  <c r="I31" i="74"/>
  <c r="I22" i="74"/>
  <c r="I50" i="74"/>
  <c r="I93" i="74"/>
  <c r="I59" i="74"/>
  <c r="I108" i="74"/>
  <c r="I91" i="74"/>
  <c r="I15" i="74"/>
  <c r="I95" i="74"/>
  <c r="I76" i="74"/>
  <c r="I72" i="74"/>
  <c r="I29" i="74"/>
  <c r="I26" i="74"/>
  <c r="I92" i="74"/>
  <c r="I67" i="74"/>
  <c r="I115" i="74"/>
  <c r="I8" i="74"/>
  <c r="I100" i="74"/>
  <c r="I17" i="74"/>
  <c r="I35" i="74"/>
  <c r="I10" i="74"/>
  <c r="I77" i="74"/>
  <c r="I37" i="74"/>
  <c r="I138" i="74"/>
  <c r="C42" i="66"/>
  <c r="C79" i="66"/>
  <c r="P79" i="66" s="1"/>
  <c r="V79" i="66" s="1"/>
  <c r="C180" i="66"/>
  <c r="F7" i="76"/>
  <c r="G8" i="76"/>
  <c r="C190" i="66"/>
  <c r="I143" i="74"/>
  <c r="I6" i="41"/>
  <c r="I134" i="74"/>
  <c r="D12" i="34"/>
  <c r="I142" i="74"/>
  <c r="E6" i="53"/>
  <c r="F9" i="76"/>
  <c r="I122" i="74"/>
  <c r="I131" i="74"/>
  <c r="I129" i="74"/>
  <c r="I114" i="74"/>
  <c r="I118" i="74"/>
  <c r="I73" i="74"/>
  <c r="I85" i="74"/>
  <c r="I56" i="74"/>
  <c r="I130" i="74"/>
  <c r="I110" i="74"/>
  <c r="I141" i="74"/>
  <c r="I97" i="74"/>
  <c r="H9" i="41"/>
  <c r="K55" i="39" s="1"/>
  <c r="E153" i="38" s="1"/>
  <c r="C60" i="66"/>
  <c r="C287" i="66"/>
  <c r="P287" i="66" s="1"/>
  <c r="R287" i="66" s="1"/>
  <c r="C73" i="66"/>
  <c r="P73" i="66" s="1"/>
  <c r="R73" i="66" s="1"/>
  <c r="D108" i="74"/>
  <c r="C89" i="66"/>
  <c r="D81" i="74"/>
  <c r="P81" i="74" s="1"/>
  <c r="R81" i="74" s="1"/>
  <c r="C5" i="66"/>
  <c r="P5" i="66" s="1"/>
  <c r="V5" i="66" s="1"/>
  <c r="C48" i="66"/>
  <c r="C90" i="66"/>
  <c r="C132" i="66"/>
  <c r="C157" i="66"/>
  <c r="P157" i="66" s="1"/>
  <c r="V157" i="66" s="1"/>
  <c r="C8" i="66"/>
  <c r="P8" i="66" s="1"/>
  <c r="V8" i="66" s="1"/>
  <c r="C210" i="66"/>
  <c r="P210" i="66" s="1"/>
  <c r="R210" i="66" s="1"/>
  <c r="C56" i="66"/>
  <c r="P56" i="66" s="1"/>
  <c r="V56" i="66" s="1"/>
  <c r="I98" i="74"/>
  <c r="I34" i="74"/>
  <c r="I89" i="74"/>
  <c r="I40" i="74"/>
  <c r="I133" i="74"/>
  <c r="I146" i="74"/>
  <c r="I38" i="74"/>
  <c r="I55" i="74"/>
  <c r="I121" i="74"/>
  <c r="I45" i="74"/>
  <c r="I136" i="74"/>
  <c r="I119" i="74"/>
  <c r="I124" i="74"/>
  <c r="I99" i="74"/>
  <c r="I128" i="74"/>
  <c r="I33" i="74"/>
  <c r="I82" i="74"/>
  <c r="I5" i="74"/>
  <c r="I25" i="74"/>
  <c r="I51" i="74"/>
  <c r="I47" i="74"/>
  <c r="I86" i="74"/>
  <c r="I18" i="74"/>
  <c r="I120" i="74"/>
  <c r="G70" i="74"/>
  <c r="S103" i="66"/>
  <c r="I103" i="66"/>
  <c r="I111" i="74"/>
  <c r="I106" i="74"/>
  <c r="I54" i="74"/>
  <c r="I69" i="74"/>
  <c r="I27" i="74"/>
  <c r="I46" i="74"/>
  <c r="I135" i="74"/>
  <c r="I44" i="74"/>
  <c r="I81" i="74"/>
  <c r="I32" i="74"/>
  <c r="C139" i="66"/>
  <c r="P139" i="66" s="1"/>
  <c r="V139" i="66" s="1"/>
  <c r="I75" i="74"/>
  <c r="I139" i="74"/>
  <c r="I79" i="74"/>
  <c r="I70" i="74"/>
  <c r="I53" i="74"/>
  <c r="I87" i="74"/>
  <c r="I63" i="74"/>
  <c r="I24" i="74"/>
  <c r="I117" i="74"/>
  <c r="I65" i="74"/>
  <c r="I23" i="74"/>
  <c r="I127" i="74"/>
  <c r="I64" i="74"/>
  <c r="I144" i="74"/>
  <c r="I42" i="74"/>
  <c r="I80" i="74"/>
  <c r="I4" i="74"/>
  <c r="I41" i="74"/>
  <c r="I9" i="74"/>
  <c r="I113" i="74"/>
  <c r="I13" i="74"/>
  <c r="I101" i="74"/>
  <c r="I16" i="74"/>
  <c r="I49" i="74"/>
  <c r="I105" i="74"/>
  <c r="I61" i="74"/>
  <c r="I30" i="74"/>
  <c r="I58" i="74"/>
  <c r="I52" i="74"/>
  <c r="I66" i="74"/>
  <c r="I39" i="74"/>
  <c r="I102" i="74"/>
  <c r="I43" i="74"/>
  <c r="I96" i="74"/>
  <c r="I90" i="74"/>
  <c r="I48" i="74"/>
  <c r="I109" i="74"/>
  <c r="I78" i="74"/>
  <c r="I12" i="74"/>
  <c r="I132" i="74"/>
  <c r="I112" i="74"/>
  <c r="I36" i="74"/>
  <c r="I74" i="74"/>
  <c r="I21" i="74"/>
  <c r="I83" i="74"/>
  <c r="I145" i="74"/>
  <c r="I84" i="74"/>
  <c r="I88" i="74"/>
  <c r="I11" i="74"/>
  <c r="I126" i="74"/>
  <c r="I60" i="74"/>
  <c r="I28" i="74"/>
  <c r="S247" i="66"/>
  <c r="I247" i="66"/>
  <c r="G144" i="74"/>
  <c r="G48" i="74"/>
  <c r="G97" i="74"/>
  <c r="H137" i="41"/>
  <c r="C12" i="66"/>
  <c r="G49" i="74"/>
  <c r="J9" i="41"/>
  <c r="M55" i="39" s="1"/>
  <c r="E187" i="38" s="1"/>
  <c r="C47" i="63"/>
  <c r="I9" i="41"/>
  <c r="D55" i="39" s="1"/>
  <c r="E119" i="38" s="1"/>
  <c r="I469" i="37" s="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V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R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V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V25" i="66" s="1"/>
  <c r="C123" i="66"/>
  <c r="P123" i="66" s="1"/>
  <c r="V123" i="66" s="1"/>
  <c r="C197" i="66"/>
  <c r="P197" i="66" s="1"/>
  <c r="V197" i="66" s="1"/>
  <c r="D12" i="74"/>
  <c r="D46" i="74"/>
  <c r="D121" i="74"/>
  <c r="P121" i="74" s="1"/>
  <c r="V121" i="74" s="1"/>
  <c r="C29" i="66"/>
  <c r="P29" i="66" s="1"/>
  <c r="R29" i="66" s="1"/>
  <c r="C19" i="66"/>
  <c r="P19" i="66" s="1"/>
  <c r="R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R44" i="66" s="1"/>
  <c r="C88" i="66"/>
  <c r="P88" i="66" s="1"/>
  <c r="V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R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V121" i="66" s="1"/>
  <c r="C238" i="66"/>
  <c r="C196" i="66"/>
  <c r="P196" i="66" s="1"/>
  <c r="R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V265" i="66" s="1"/>
  <c r="C280" i="66"/>
  <c r="P280" i="66" s="1"/>
  <c r="V280" i="66" s="1"/>
  <c r="D32" i="74"/>
  <c r="D57" i="74"/>
  <c r="D44" i="74"/>
  <c r="P44" i="74" s="1"/>
  <c r="V44" i="74" s="1"/>
  <c r="D92" i="74"/>
  <c r="P92" i="74" s="1"/>
  <c r="R92" i="74" s="1"/>
  <c r="D88" i="74"/>
  <c r="P88" i="74" s="1"/>
  <c r="V88" i="74" s="1"/>
  <c r="D75" i="74"/>
  <c r="P75" i="74" s="1"/>
  <c r="V75" i="74" s="1"/>
  <c r="D101" i="74"/>
  <c r="P101" i="74" s="1"/>
  <c r="V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V147" i="74" s="1"/>
  <c r="S103" i="74"/>
  <c r="C103" i="74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V136" i="66" s="1"/>
  <c r="C149" i="66"/>
  <c r="P149" i="66" s="1"/>
  <c r="R149" i="66" s="1"/>
  <c r="C152" i="66"/>
  <c r="P152" i="66" s="1"/>
  <c r="R152" i="66" s="1"/>
  <c r="C169" i="66"/>
  <c r="P169" i="66" s="1"/>
  <c r="V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V123" i="74" s="1"/>
  <c r="D136" i="74"/>
  <c r="P136" i="74" s="1"/>
  <c r="V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V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V104" i="74" s="1"/>
  <c r="D49" i="74"/>
  <c r="D27" i="74"/>
  <c r="P27" i="74" s="1"/>
  <c r="R27" i="74" s="1"/>
  <c r="D51" i="74"/>
  <c r="P51" i="74" s="1"/>
  <c r="V51" i="74" s="1"/>
  <c r="D89" i="74"/>
  <c r="D71" i="74"/>
  <c r="D109" i="74"/>
  <c r="P109" i="74" s="1"/>
  <c r="R109" i="74" s="1"/>
  <c r="D99" i="74"/>
  <c r="P99" i="74" s="1"/>
  <c r="R99" i="74" s="1"/>
  <c r="D91" i="74"/>
  <c r="P91" i="74" s="1"/>
  <c r="V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V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V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R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V87" i="74" s="1"/>
  <c r="D76" i="74"/>
  <c r="D73" i="74"/>
  <c r="P73" i="74" s="1"/>
  <c r="V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V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V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R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J7" i="9" s="1"/>
  <c r="T7" i="9" s="1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P2" i="18"/>
  <c r="X3" i="20"/>
  <c r="C6" i="17"/>
  <c r="R274" i="66"/>
  <c r="V274" i="66"/>
  <c r="R8" i="74"/>
  <c r="V8" i="74"/>
  <c r="C312" i="38"/>
  <c r="E199" i="38"/>
  <c r="C246" i="38"/>
  <c r="G12" i="66"/>
  <c r="H126" i="41"/>
  <c r="C41" i="39"/>
  <c r="E88" i="38" s="1"/>
  <c r="E4" i="22"/>
  <c r="C22" i="26"/>
  <c r="C238" i="38"/>
  <c r="A22" i="53"/>
  <c r="C240" i="38"/>
  <c r="H472" i="41"/>
  <c r="A18" i="53"/>
  <c r="E6" i="22"/>
  <c r="J9" i="9"/>
  <c r="T9" i="9" s="1"/>
  <c r="E188" i="38"/>
  <c r="C297" i="38"/>
  <c r="E193" i="38"/>
  <c r="E189" i="38"/>
  <c r="E2" i="22"/>
  <c r="C219" i="38"/>
  <c r="D16" i="53" s="1"/>
  <c r="C322" i="38"/>
  <c r="E241" i="38"/>
  <c r="C256" i="38"/>
  <c r="G46" i="66"/>
  <c r="H96" i="41"/>
  <c r="E245" i="38"/>
  <c r="C260" i="38"/>
  <c r="E243" i="38"/>
  <c r="C258" i="38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G10" i="76"/>
  <c r="F8" i="76"/>
  <c r="I472" i="41"/>
  <c r="A21" i="53"/>
  <c r="C316" i="38"/>
  <c r="C236" i="38"/>
  <c r="E194" i="38"/>
  <c r="H128" i="41"/>
  <c r="H100" i="41"/>
  <c r="C244" i="38"/>
  <c r="E198" i="38"/>
  <c r="E191" i="38"/>
  <c r="E239" i="38"/>
  <c r="C254" i="38"/>
  <c r="H133" i="41"/>
  <c r="E192" i="38"/>
  <c r="E195" i="38"/>
  <c r="R79" i="66" l="1"/>
  <c r="R51" i="74"/>
  <c r="R104" i="74"/>
  <c r="R123" i="74"/>
  <c r="R147" i="74"/>
  <c r="V73" i="66"/>
  <c r="V81" i="74"/>
  <c r="V99" i="74"/>
  <c r="C55" i="39"/>
  <c r="E102" i="38" s="1"/>
  <c r="H469" i="37" s="1"/>
  <c r="R157" i="66"/>
  <c r="V210" i="66"/>
  <c r="C20" i="34"/>
  <c r="C21" i="34" s="1"/>
  <c r="R143" i="66"/>
  <c r="R130" i="66"/>
  <c r="V44" i="66"/>
  <c r="R129" i="74"/>
  <c r="V273" i="66"/>
  <c r="V72" i="74"/>
  <c r="R265" i="66"/>
  <c r="V223" i="66"/>
  <c r="V29" i="66"/>
  <c r="E55" i="39"/>
  <c r="E136" i="38" s="1"/>
  <c r="J469" i="37" s="1"/>
  <c r="R129" i="66"/>
  <c r="V178" i="66"/>
  <c r="R121" i="74"/>
  <c r="R15" i="74"/>
  <c r="R139" i="66"/>
  <c r="V110" i="66"/>
  <c r="R87" i="74"/>
  <c r="V287" i="66"/>
  <c r="R56" i="66"/>
  <c r="R120" i="74"/>
  <c r="V75" i="66"/>
  <c r="V291" i="66"/>
  <c r="R88" i="66"/>
  <c r="R5" i="66"/>
  <c r="V147" i="66"/>
  <c r="R216" i="66"/>
  <c r="V243" i="66"/>
  <c r="R75" i="74"/>
  <c r="R8" i="66"/>
  <c r="D15" i="53"/>
  <c r="I103" i="74"/>
  <c r="R118" i="66"/>
  <c r="V269" i="66"/>
  <c r="R114" i="74"/>
  <c r="V86" i="74"/>
  <c r="R158" i="66"/>
  <c r="V70" i="74"/>
  <c r="L55" i="39"/>
  <c r="E170" i="38" s="1"/>
  <c r="I469" i="58" s="1"/>
  <c r="I469" i="41" s="1"/>
  <c r="R73" i="74"/>
  <c r="V134" i="74"/>
  <c r="R95" i="66"/>
  <c r="R280" i="66"/>
  <c r="V163" i="66"/>
  <c r="R82" i="66"/>
  <c r="R214" i="66"/>
  <c r="V22" i="66"/>
  <c r="R195" i="66"/>
  <c r="C52" i="39"/>
  <c r="E99" i="38" s="1"/>
  <c r="D6" i="53" s="1"/>
  <c r="F6" i="53" s="1"/>
  <c r="V61" i="74"/>
  <c r="V19" i="66"/>
  <c r="V264" i="66"/>
  <c r="V24" i="66"/>
  <c r="V143" i="74"/>
  <c r="R183" i="66"/>
  <c r="V92" i="74"/>
  <c r="R255" i="66"/>
  <c r="R271" i="66"/>
  <c r="R25" i="66"/>
  <c r="V101" i="66"/>
  <c r="V140" i="74"/>
  <c r="R91" i="74"/>
  <c r="V232" i="66"/>
  <c r="R197" i="66"/>
  <c r="V72" i="66"/>
  <c r="V196" i="66"/>
  <c r="V22" i="74"/>
  <c r="D5" i="53"/>
  <c r="R4" i="74"/>
  <c r="R168" i="66"/>
  <c r="R226" i="66"/>
  <c r="R219" i="66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V25" i="74"/>
  <c r="R77" i="66"/>
  <c r="V66" i="66"/>
  <c r="V15" i="66"/>
  <c r="V11" i="74"/>
  <c r="R205" i="66"/>
  <c r="V109" i="74"/>
  <c r="V245" i="66"/>
  <c r="V77" i="74"/>
  <c r="R19" i="74"/>
  <c r="V135" i="66"/>
  <c r="V5" i="74"/>
  <c r="V140" i="66"/>
  <c r="R248" i="66"/>
  <c r="V217" i="66"/>
  <c r="R121" i="66"/>
  <c r="V254" i="66"/>
  <c r="V40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V53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V149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V39" i="74"/>
  <c r="E352" i="38"/>
  <c r="R47" i="74"/>
  <c r="G4" i="74"/>
  <c r="R33" i="66"/>
  <c r="R107" i="66"/>
  <c r="V63" i="74"/>
  <c r="R225" i="66"/>
  <c r="R258" i="66"/>
  <c r="V61" i="66"/>
  <c r="V40" i="74"/>
  <c r="V59" i="74"/>
  <c r="R169" i="66"/>
  <c r="R14" i="66"/>
  <c r="V14" i="66"/>
  <c r="D3" i="53"/>
  <c r="V135" i="74"/>
  <c r="R259" i="66"/>
  <c r="V52" i="66"/>
  <c r="R221" i="66"/>
  <c r="V59" i="66"/>
  <c r="D7" i="17"/>
  <c r="G52" i="20" s="1"/>
  <c r="M52" i="39"/>
  <c r="E184" i="38" s="1"/>
  <c r="J470" i="58" s="1"/>
  <c r="D4" i="53"/>
  <c r="V130" i="74"/>
  <c r="B3" i="39"/>
  <c r="C39" i="39" s="1"/>
  <c r="E86" i="38" s="1"/>
  <c r="V27" i="74"/>
  <c r="V182" i="66"/>
  <c r="V39" i="66"/>
  <c r="R52" i="74"/>
  <c r="V184" i="66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33" i="20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E36" i="17" s="1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M41" i="20"/>
  <c r="C41" i="17"/>
  <c r="G29" i="66"/>
  <c r="G29" i="74" s="1"/>
  <c r="H429" i="41"/>
  <c r="D44" i="20"/>
  <c r="C39" i="17"/>
  <c r="C35" i="17"/>
  <c r="C23" i="17"/>
  <c r="D23" i="17" s="1"/>
  <c r="M42" i="20"/>
  <c r="E47" i="22"/>
  <c r="M35" i="9" a="1"/>
  <c r="M35" i="9" s="1"/>
  <c r="P35" i="9" a="1"/>
  <c r="P35" i="9" s="1"/>
  <c r="C34" i="17"/>
  <c r="C40" i="17"/>
  <c r="M37" i="20"/>
  <c r="M36" i="20"/>
  <c r="C326" i="38"/>
  <c r="C330" i="38"/>
  <c r="C334" i="38"/>
  <c r="D18" i="53"/>
  <c r="A24" i="53"/>
  <c r="E18" i="53"/>
  <c r="E246" i="38"/>
  <c r="C261" i="38"/>
  <c r="D6" i="17"/>
  <c r="G51" i="20" s="1"/>
  <c r="C265" i="38"/>
  <c r="H470" i="58"/>
  <c r="A28" i="53"/>
  <c r="C277" i="38"/>
  <c r="H469" i="58"/>
  <c r="D8" i="17"/>
  <c r="G53" i="20" s="1"/>
  <c r="E242" i="38"/>
  <c r="C257" i="38"/>
  <c r="C273" i="38"/>
  <c r="C234" i="38"/>
  <c r="D29" i="53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E38" i="17" l="1"/>
  <c r="E45" i="17" s="1"/>
  <c r="E37" i="17"/>
  <c r="E41" i="17" s="1"/>
  <c r="H470" i="37"/>
  <c r="H470" i="41" s="1"/>
  <c r="E45" i="20"/>
  <c r="C13" i="39"/>
  <c r="O13" i="39" s="1"/>
  <c r="H460" i="37"/>
  <c r="D38" i="20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219" i="72" a="1"/>
  <c r="D219" i="72" s="1"/>
  <c r="D33" i="72" a="1"/>
  <c r="D33" i="72" s="1"/>
  <c r="D34" i="72" s="1" a="1"/>
  <c r="D34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C15" i="39" s="1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E39" i="17" l="1"/>
  <c r="E32" i="17"/>
  <c r="E42" i="17"/>
  <c r="G339" i="18" a="1"/>
  <c r="G339" i="18" s="1"/>
  <c r="P13" i="39"/>
  <c r="Q13" i="39" s="1"/>
  <c r="H459" i="58"/>
  <c r="H459" i="41" s="1"/>
  <c r="H460" i="41"/>
  <c r="AA3" i="39"/>
  <c r="G114" i="35" a="1"/>
  <c r="G114" i="35" s="1"/>
  <c r="G351" i="18" a="1"/>
  <c r="G351" i="18" s="1"/>
  <c r="G113" i="35" a="1"/>
  <c r="G113" i="35" s="1"/>
  <c r="G111" i="35" a="1"/>
  <c r="G111" i="35" s="1"/>
  <c r="G107" i="35" a="1"/>
  <c r="G107" i="35" s="1"/>
  <c r="G347" i="18" a="1"/>
  <c r="G347" i="18" s="1"/>
  <c r="I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I345" i="18" s="1"/>
  <c r="G348" i="18" a="1"/>
  <c r="G348" i="18" s="1"/>
  <c r="H348" i="18" s="1"/>
  <c r="G346" i="18" a="1"/>
  <c r="G346" i="18" s="1"/>
  <c r="I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Q12" i="39" s="1"/>
  <c r="O16" i="39"/>
  <c r="H478" i="41"/>
  <c r="H475" i="41"/>
  <c r="H476" i="41"/>
  <c r="D96" i="72" a="1"/>
  <c r="D96" i="72" s="1"/>
  <c r="D97" i="72" s="1" a="1"/>
  <c r="D97" i="72" s="1"/>
  <c r="D98" i="72" s="1" a="1"/>
  <c r="D98" i="72" s="1"/>
  <c r="G104" i="35" a="1"/>
  <c r="G104" i="35" s="1"/>
  <c r="G342" i="18" a="1"/>
  <c r="G342" i="18" s="1"/>
  <c r="I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H391" i="18" s="1"/>
  <c r="G432" i="18" a="1"/>
  <c r="G432" i="18" s="1"/>
  <c r="I432" i="18" s="1"/>
  <c r="G386" i="18" a="1"/>
  <c r="G386" i="18" s="1"/>
  <c r="I386" i="18" s="1"/>
  <c r="G388" i="18" a="1"/>
  <c r="G388" i="18" s="1"/>
  <c r="H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H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H385" i="18" s="1"/>
  <c r="F2" i="72"/>
  <c r="G383" i="18" a="1"/>
  <c r="G383" i="18" s="1"/>
  <c r="I383" i="18" s="1"/>
  <c r="G422" i="18" a="1"/>
  <c r="G422" i="18" s="1"/>
  <c r="H422" i="18" s="1"/>
  <c r="G384" i="18" a="1"/>
  <c r="G384" i="18" s="1"/>
  <c r="I384" i="18" s="1"/>
  <c r="G144" i="35" a="1"/>
  <c r="G144" i="35" s="1"/>
  <c r="G387" i="18" a="1"/>
  <c r="G387" i="18" s="1"/>
  <c r="H387" i="18" s="1"/>
  <c r="G425" i="18" a="1"/>
  <c r="G425" i="18" s="1"/>
  <c r="I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I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H345" i="18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M9" i="9"/>
  <c r="E21" i="22"/>
  <c r="E13" i="22"/>
  <c r="L6" i="9"/>
  <c r="D3" i="9" s="1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139" i="58"/>
  <c r="I136" i="58"/>
  <c r="I137" i="58"/>
  <c r="I140" i="58"/>
  <c r="I135" i="58"/>
  <c r="I138" i="58"/>
  <c r="I134" i="58"/>
  <c r="I133" i="58"/>
  <c r="E34" i="22"/>
  <c r="P7" i="9"/>
  <c r="E8" i="22"/>
  <c r="K6" i="9"/>
  <c r="D4" i="9" s="1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I351" i="18"/>
  <c r="H351" i="18"/>
  <c r="H68" i="37"/>
  <c r="P15" i="39"/>
  <c r="Q15" i="39" s="1"/>
  <c r="O15" i="39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6" i="39"/>
  <c r="D6" i="39" s="1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H16" i="37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H32" i="37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I172" i="35"/>
  <c r="I174" i="35"/>
  <c r="I171" i="35"/>
  <c r="I173" i="35"/>
  <c r="H24" i="20"/>
  <c r="E24" i="20"/>
  <c r="H51" i="20"/>
  <c r="C264" i="38"/>
  <c r="L40" i="39"/>
  <c r="E155" i="38" s="1"/>
  <c r="I476" i="58"/>
  <c r="E375" i="38" s="1"/>
  <c r="G220" i="66"/>
  <c r="I118" i="41"/>
  <c r="A36" i="53"/>
  <c r="D30" i="53"/>
  <c r="E30" i="53"/>
  <c r="C10" i="63"/>
  <c r="P7" i="18"/>
  <c r="Y5" i="20"/>
  <c r="D49" i="26"/>
  <c r="I185" i="35"/>
  <c r="C348" i="38"/>
  <c r="H458" i="41"/>
  <c r="G18" i="66"/>
  <c r="Y8" i="20"/>
  <c r="P16" i="18"/>
  <c r="D22" i="53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H349" i="18" l="1"/>
  <c r="H467" i="18"/>
  <c r="I393" i="18"/>
  <c r="I385" i="18"/>
  <c r="I348" i="18"/>
  <c r="H392" i="18"/>
  <c r="I381" i="18"/>
  <c r="H346" i="18"/>
  <c r="I391" i="18"/>
  <c r="F391" i="18" s="1"/>
  <c r="H347" i="18"/>
  <c r="H383" i="18"/>
  <c r="J383" i="18" s="1"/>
  <c r="I422" i="18"/>
  <c r="F422" i="18" s="1"/>
  <c r="K10" i="9"/>
  <c r="I102" i="41"/>
  <c r="I338" i="18"/>
  <c r="J338" i="18" s="1"/>
  <c r="I387" i="18"/>
  <c r="F387" i="18" s="1"/>
  <c r="H342" i="18"/>
  <c r="J342" i="18" s="1"/>
  <c r="I388" i="18"/>
  <c r="J388" i="18" s="1"/>
  <c r="H432" i="18"/>
  <c r="H384" i="18"/>
  <c r="J384" i="18" s="1"/>
  <c r="I103" i="41"/>
  <c r="H344" i="18"/>
  <c r="J344" i="18" s="1"/>
  <c r="H386" i="18"/>
  <c r="J386" i="18" s="1"/>
  <c r="H425" i="18"/>
  <c r="J425" i="18" s="1"/>
  <c r="C40" i="63"/>
  <c r="H390" i="18"/>
  <c r="H340" i="18"/>
  <c r="H350" i="18"/>
  <c r="J350" i="18" s="1"/>
  <c r="I122" i="41"/>
  <c r="H341" i="18"/>
  <c r="I343" i="18"/>
  <c r="J343" i="18" s="1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F380" i="18" s="1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F388" i="18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J347" i="18"/>
  <c r="F347" i="18"/>
  <c r="H63" i="37"/>
  <c r="E258" i="38"/>
  <c r="E252" i="38"/>
  <c r="E256" i="38"/>
  <c r="E250" i="38"/>
  <c r="E254" i="38"/>
  <c r="E262" i="38"/>
  <c r="E248" i="38"/>
  <c r="E261" i="38"/>
  <c r="E257" i="38"/>
  <c r="E253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F393" i="18"/>
  <c r="J393" i="18"/>
  <c r="H453" i="37"/>
  <c r="E89" i="38"/>
  <c r="J392" i="1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I140" i="41"/>
  <c r="L10" i="9"/>
  <c r="H71" i="37"/>
  <c r="G94" i="66"/>
  <c r="I475" i="37"/>
  <c r="I96" i="4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J349" i="18"/>
  <c r="F349" i="18"/>
  <c r="I477" i="18"/>
  <c r="H477" i="18"/>
  <c r="G133" i="18" a="1"/>
  <c r="G133" i="18" s="1"/>
  <c r="H91" i="37"/>
  <c r="F344" i="18"/>
  <c r="E63" i="22"/>
  <c r="M40" i="9"/>
  <c r="F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D33" i="53"/>
  <c r="F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C43" i="63"/>
  <c r="H449" i="58"/>
  <c r="D192" i="72" a="1"/>
  <c r="D192" i="72" s="1"/>
  <c r="D193" i="72" s="1" a="1"/>
  <c r="D193" i="72" s="1"/>
  <c r="I428" i="18"/>
  <c r="H428" i="18"/>
  <c r="F350" i="18"/>
  <c r="I100" i="41"/>
  <c r="E389" i="38"/>
  <c r="I439" i="37"/>
  <c r="I438" i="37"/>
  <c r="I125" i="41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J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F381" i="18"/>
  <c r="J381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4" i="37"/>
  <c r="J107" i="37"/>
  <c r="J106" i="37"/>
  <c r="J105" i="37"/>
  <c r="H442" i="37"/>
  <c r="H449" i="37"/>
  <c r="F339" i="18"/>
  <c r="J339" i="18"/>
  <c r="D12" i="53"/>
  <c r="F12" i="53" s="1"/>
  <c r="I429" i="18"/>
  <c r="H429" i="18"/>
  <c r="H444" i="37"/>
  <c r="J346" i="18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J341" i="18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C345" i="38"/>
  <c r="H20" i="66" s="1"/>
  <c r="D34" i="53"/>
  <c r="I461" i="58"/>
  <c r="I460" i="58"/>
  <c r="P37" i="18"/>
  <c r="E53" i="20"/>
  <c r="P28" i="18" s="1"/>
  <c r="P19" i="18"/>
  <c r="Z8" i="20"/>
  <c r="I452" i="41"/>
  <c r="D9" i="53"/>
  <c r="P10" i="18"/>
  <c r="G76" i="74"/>
  <c r="D259" i="72" a="1"/>
  <c r="D259" i="72" s="1"/>
  <c r="D260" i="72" s="1" a="1"/>
  <c r="D260" i="72" s="1"/>
  <c r="J391" i="18" l="1"/>
  <c r="J422" i="18"/>
  <c r="F338" i="18"/>
  <c r="J387" i="18"/>
  <c r="F343" i="18"/>
  <c r="M4" i="66"/>
  <c r="J103" i="41"/>
  <c r="D20" i="34"/>
  <c r="D12" i="39"/>
  <c r="L31" i="66"/>
  <c r="J111" i="41"/>
  <c r="J380" i="18"/>
  <c r="J130" i="41"/>
  <c r="M115" i="66"/>
  <c r="J133" i="41"/>
  <c r="M56" i="66"/>
  <c r="M197" i="66"/>
  <c r="K99" i="66"/>
  <c r="X99" i="66" s="1"/>
  <c r="K37" i="66"/>
  <c r="X37" i="66" s="1"/>
  <c r="N256" i="66"/>
  <c r="H225" i="66"/>
  <c r="L42" i="39"/>
  <c r="E157" i="38" s="1"/>
  <c r="K237" i="66" s="1"/>
  <c r="J138" i="41"/>
  <c r="J139" i="41"/>
  <c r="J115" i="41"/>
  <c r="G236" i="66"/>
  <c r="I436" i="41"/>
  <c r="I435" i="41"/>
  <c r="G52" i="74"/>
  <c r="H453" i="41"/>
  <c r="M230" i="66"/>
  <c r="N133" i="66"/>
  <c r="H23" i="66"/>
  <c r="K114" i="66"/>
  <c r="X114" i="66" s="1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K176" i="66"/>
  <c r="T176" i="66" s="1"/>
  <c r="J122" i="41"/>
  <c r="J428" i="37"/>
  <c r="J427" i="37"/>
  <c r="J112" i="41"/>
  <c r="J429" i="37"/>
  <c r="J426" i="37"/>
  <c r="G134" i="66"/>
  <c r="I426" i="41"/>
  <c r="G79" i="66"/>
  <c r="G79" i="74" s="1"/>
  <c r="K4" i="66"/>
  <c r="H36" i="53"/>
  <c r="M40" i="39"/>
  <c r="E172" i="38" s="1"/>
  <c r="K268" i="66" s="1"/>
  <c r="J476" i="58"/>
  <c r="E381" i="38" s="1"/>
  <c r="L268" i="66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K124" i="66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K157" i="66"/>
  <c r="T157" i="66" s="1"/>
  <c r="K132" i="66"/>
  <c r="T132" i="66" s="1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K82" i="66"/>
  <c r="X82" i="66" s="1"/>
  <c r="K34" i="66"/>
  <c r="X34" i="66" s="1"/>
  <c r="M30" i="66"/>
  <c r="H194" i="66"/>
  <c r="M184" i="66"/>
  <c r="M216" i="66"/>
  <c r="H278" i="66"/>
  <c r="K76" i="66"/>
  <c r="X76" i="66" s="1"/>
  <c r="I175" i="18"/>
  <c r="H175" i="18"/>
  <c r="I180" i="18"/>
  <c r="H180" i="18"/>
  <c r="I183" i="18"/>
  <c r="H183" i="18"/>
  <c r="F429" i="18"/>
  <c r="J429" i="18"/>
  <c r="H442" i="41"/>
  <c r="K167" i="66"/>
  <c r="H424" i="37"/>
  <c r="H423" i="37"/>
  <c r="H446" i="41"/>
  <c r="F427" i="18"/>
  <c r="J427" i="18"/>
  <c r="K288" i="66"/>
  <c r="K32" i="66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K220" i="66"/>
  <c r="X220" i="66" s="1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K154" i="66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K202" i="66"/>
  <c r="I463" i="58"/>
  <c r="H161" i="66"/>
  <c r="F464" i="18"/>
  <c r="J464" i="18"/>
  <c r="H30" i="37"/>
  <c r="I444" i="37"/>
  <c r="H90" i="66"/>
  <c r="H48" i="66"/>
  <c r="H70" i="37"/>
  <c r="H162" i="66"/>
  <c r="M39" i="39"/>
  <c r="G286" i="66"/>
  <c r="J475" i="58"/>
  <c r="E380" i="38" s="1"/>
  <c r="L286" i="66" s="1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M177" i="66"/>
  <c r="G12" i="53"/>
  <c r="H6" i="53"/>
  <c r="G6" i="53" s="1"/>
  <c r="I137" i="18"/>
  <c r="H137" i="18"/>
  <c r="D223" i="72" a="1"/>
  <c r="D223" i="72" s="1"/>
  <c r="K69" i="66"/>
  <c r="H86" i="37"/>
  <c r="I454" i="37"/>
  <c r="H70" i="66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67" i="38"/>
  <c r="E265" i="38"/>
  <c r="E277" i="38"/>
  <c r="E263" i="38"/>
  <c r="E268" i="38"/>
  <c r="E266" i="38"/>
  <c r="E272" i="38"/>
  <c r="E270" i="38"/>
  <c r="E276" i="38"/>
  <c r="H186" i="66"/>
  <c r="H267" i="18"/>
  <c r="I267" i="18"/>
  <c r="H263" i="18"/>
  <c r="I263" i="18"/>
  <c r="J101" i="41"/>
  <c r="C23" i="63"/>
  <c r="D6" i="72" a="1"/>
  <c r="D6" i="72" s="1"/>
  <c r="I178" i="18"/>
  <c r="H178" i="18"/>
  <c r="K261" i="66"/>
  <c r="N238" i="66"/>
  <c r="H61" i="66"/>
  <c r="N36" i="66"/>
  <c r="M91" i="66"/>
  <c r="K9" i="66"/>
  <c r="T9" i="66" s="1"/>
  <c r="I173" i="18"/>
  <c r="H173" i="18"/>
  <c r="I176" i="18"/>
  <c r="H176" i="18"/>
  <c r="K165" i="66"/>
  <c r="I140" i="18"/>
  <c r="H140" i="18"/>
  <c r="H50" i="37"/>
  <c r="H169" i="66"/>
  <c r="K12" i="66"/>
  <c r="K204" i="66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K93" i="66"/>
  <c r="I462" i="37"/>
  <c r="K60" i="66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12" i="39" s="1"/>
  <c r="E39" i="39"/>
  <c r="H173" i="66"/>
  <c r="I440" i="37"/>
  <c r="H74" i="66"/>
  <c r="H32" i="66"/>
  <c r="E103" i="38"/>
  <c r="K156" i="66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K80" i="66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K53" i="66"/>
  <c r="X53" i="66" s="1"/>
  <c r="K231" i="66"/>
  <c r="X231" i="66" s="1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K96" i="66"/>
  <c r="I133" i="18"/>
  <c r="H133" i="18"/>
  <c r="H44" i="66"/>
  <c r="I432" i="41"/>
  <c r="G92" i="66"/>
  <c r="H473" i="58"/>
  <c r="K189" i="66"/>
  <c r="E356" i="38"/>
  <c r="L94" i="66" s="1"/>
  <c r="I475" i="41"/>
  <c r="K192" i="66"/>
  <c r="F469" i="18"/>
  <c r="J469" i="18"/>
  <c r="K45" i="66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22" i="38"/>
  <c r="E220" i="38"/>
  <c r="E223" i="38"/>
  <c r="E227" i="38"/>
  <c r="E221" i="38"/>
  <c r="E231" i="38"/>
  <c r="E224" i="38"/>
  <c r="E228" i="38"/>
  <c r="E219" i="38"/>
  <c r="H172" i="18"/>
  <c r="I172" i="18"/>
  <c r="J17" i="66"/>
  <c r="H243" i="66"/>
  <c r="L245" i="66"/>
  <c r="I177" i="18"/>
  <c r="H177" i="18"/>
  <c r="I128" i="18"/>
  <c r="H128" i="18"/>
  <c r="F474" i="18"/>
  <c r="J474" i="18"/>
  <c r="K128" i="66"/>
  <c r="G58" i="74"/>
  <c r="K10" i="66"/>
  <c r="K213" i="66"/>
  <c r="H90" i="37"/>
  <c r="K172" i="66"/>
  <c r="I302" i="18"/>
  <c r="H302" i="18"/>
  <c r="I300" i="18"/>
  <c r="H300" i="18"/>
  <c r="I96" i="18"/>
  <c r="H96" i="18"/>
  <c r="K46" i="66"/>
  <c r="H96" i="66"/>
  <c r="I447" i="37"/>
  <c r="K23" i="66"/>
  <c r="H184" i="66"/>
  <c r="I431" i="41"/>
  <c r="H42" i="66"/>
  <c r="G94" i="74"/>
  <c r="K28" i="66"/>
  <c r="H46" i="37"/>
  <c r="K48" i="66"/>
  <c r="H214" i="66"/>
  <c r="I454" i="58"/>
  <c r="I254" i="18"/>
  <c r="H254" i="18"/>
  <c r="H30" i="66"/>
  <c r="J478" i="37"/>
  <c r="G106" i="66"/>
  <c r="J97" i="41"/>
  <c r="E43" i="39"/>
  <c r="E126" i="38" s="1"/>
  <c r="K117" i="66"/>
  <c r="I216" i="18"/>
  <c r="H216" i="18"/>
  <c r="N56" i="66"/>
  <c r="M11" i="66"/>
  <c r="N129" i="66"/>
  <c r="N258" i="66"/>
  <c r="L243" i="66"/>
  <c r="I181" i="18"/>
  <c r="H181" i="18"/>
  <c r="K144" i="66"/>
  <c r="K21" i="66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K58" i="66"/>
  <c r="K253" i="66"/>
  <c r="X253" i="66" s="1"/>
  <c r="H212" i="66"/>
  <c r="H164" i="66"/>
  <c r="H20" i="74" s="1"/>
  <c r="L85" i="66"/>
  <c r="N159" i="66"/>
  <c r="M209" i="66"/>
  <c r="H10" i="66"/>
  <c r="L89" i="66"/>
  <c r="H46" i="66"/>
  <c r="N14" i="66"/>
  <c r="K262" i="66"/>
  <c r="X262" i="66" s="1"/>
  <c r="I171" i="18"/>
  <c r="H171" i="18"/>
  <c r="I182" i="18"/>
  <c r="H182" i="18"/>
  <c r="H135" i="18"/>
  <c r="I135" i="18"/>
  <c r="I136" i="18"/>
  <c r="H136" i="18"/>
  <c r="H141" i="18"/>
  <c r="I141" i="18"/>
  <c r="K240" i="66"/>
  <c r="I13" i="41"/>
  <c r="H18" i="66"/>
  <c r="I214" i="18"/>
  <c r="H214" i="18"/>
  <c r="I225" i="18"/>
  <c r="H225" i="18"/>
  <c r="I299" i="18"/>
  <c r="H299" i="18"/>
  <c r="H93" i="18"/>
  <c r="I93" i="18"/>
  <c r="K190" i="66"/>
  <c r="I446" i="37"/>
  <c r="H88" i="66"/>
  <c r="H170" i="66"/>
  <c r="G91" i="66"/>
  <c r="I433" i="41"/>
  <c r="K224" i="66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264" i="18"/>
  <c r="H264" i="18"/>
  <c r="E18" i="22"/>
  <c r="M6" i="9"/>
  <c r="M30" i="9"/>
  <c r="K272" i="66"/>
  <c r="N222" i="66"/>
  <c r="L229" i="66"/>
  <c r="N108" i="66"/>
  <c r="N84" i="66"/>
  <c r="H181" i="66"/>
  <c r="M153" i="66"/>
  <c r="L247" i="66"/>
  <c r="K8" i="66"/>
  <c r="M272" i="66"/>
  <c r="L61" i="66"/>
  <c r="N85" i="66"/>
  <c r="M32" i="66"/>
  <c r="M43" i="66"/>
  <c r="K247" i="66"/>
  <c r="K148" i="66"/>
  <c r="M127" i="66"/>
  <c r="L52" i="66"/>
  <c r="N66" i="66"/>
  <c r="J18" i="66"/>
  <c r="M186" i="66"/>
  <c r="M42" i="66"/>
  <c r="N45" i="66"/>
  <c r="L7" i="66"/>
  <c r="L20" i="66"/>
  <c r="H31" i="66"/>
  <c r="M221" i="66"/>
  <c r="K291" i="66"/>
  <c r="N61" i="66"/>
  <c r="N221" i="66"/>
  <c r="H190" i="66"/>
  <c r="K129" i="66"/>
  <c r="M253" i="66"/>
  <c r="L207" i="66"/>
  <c r="H35" i="66"/>
  <c r="L254" i="66"/>
  <c r="H154" i="66"/>
  <c r="N17" i="66"/>
  <c r="J31" i="66"/>
  <c r="M169" i="66"/>
  <c r="H62" i="66"/>
  <c r="H239" i="66"/>
  <c r="N171" i="66"/>
  <c r="L131" i="66"/>
  <c r="N130" i="66"/>
  <c r="L276" i="66"/>
  <c r="M59" i="66"/>
  <c r="M156" i="66"/>
  <c r="M159" i="66"/>
  <c r="K287" i="66"/>
  <c r="K264" i="66"/>
  <c r="L63" i="66"/>
  <c r="H58" i="66"/>
  <c r="L121" i="66"/>
  <c r="M90" i="66"/>
  <c r="M110" i="66"/>
  <c r="L203" i="66"/>
  <c r="M143" i="66"/>
  <c r="N42" i="66"/>
  <c r="M202" i="66"/>
  <c r="M259" i="66"/>
  <c r="N274" i="66"/>
  <c r="M92" i="66"/>
  <c r="N72" i="66"/>
  <c r="J9" i="66"/>
  <c r="N267" i="66"/>
  <c r="N283" i="66"/>
  <c r="L77" i="66"/>
  <c r="M141" i="66"/>
  <c r="H85" i="66"/>
  <c r="K283" i="66"/>
  <c r="H129" i="66"/>
  <c r="M139" i="66"/>
  <c r="N81" i="66"/>
  <c r="M144" i="66"/>
  <c r="K206" i="66"/>
  <c r="L241" i="66"/>
  <c r="K241" i="66"/>
  <c r="K29" i="66"/>
  <c r="K267" i="66"/>
  <c r="L224" i="66"/>
  <c r="K145" i="66"/>
  <c r="K89" i="66"/>
  <c r="L277" i="66"/>
  <c r="M107" i="66"/>
  <c r="J24" i="66"/>
  <c r="N55" i="66"/>
  <c r="M94" i="66"/>
  <c r="H119" i="66"/>
  <c r="K281" i="66"/>
  <c r="N109" i="66"/>
  <c r="K135" i="66"/>
  <c r="M252" i="66"/>
  <c r="N204" i="66"/>
  <c r="I460" i="41"/>
  <c r="H13" i="66"/>
  <c r="H110" i="66"/>
  <c r="J27" i="66"/>
  <c r="L130" i="66"/>
  <c r="N211" i="66"/>
  <c r="L93" i="66"/>
  <c r="J51" i="66"/>
  <c r="M97" i="66"/>
  <c r="L111" i="66"/>
  <c r="L158" i="66"/>
  <c r="M74" i="66"/>
  <c r="H43" i="66"/>
  <c r="H219" i="66"/>
  <c r="N219" i="66"/>
  <c r="J46" i="66"/>
  <c r="L119" i="66"/>
  <c r="H67" i="66"/>
  <c r="N271" i="66"/>
  <c r="N19" i="66"/>
  <c r="L73" i="66"/>
  <c r="L185" i="66"/>
  <c r="K223" i="66"/>
  <c r="N178" i="66"/>
  <c r="N154" i="66"/>
  <c r="H285" i="66"/>
  <c r="M219" i="66"/>
  <c r="J49" i="66"/>
  <c r="L39" i="66"/>
  <c r="H6" i="66"/>
  <c r="K226" i="66"/>
  <c r="N276" i="66"/>
  <c r="M251" i="66"/>
  <c r="K208" i="66"/>
  <c r="L59" i="66"/>
  <c r="H238" i="66"/>
  <c r="K203" i="66"/>
  <c r="L159" i="66"/>
  <c r="H191" i="66"/>
  <c r="L21" i="66"/>
  <c r="H7" i="66"/>
  <c r="J32" i="66"/>
  <c r="N91" i="66"/>
  <c r="L222" i="66"/>
  <c r="H248" i="66"/>
  <c r="N234" i="66"/>
  <c r="K85" i="66"/>
  <c r="L41" i="66"/>
  <c r="H177" i="66"/>
  <c r="N80" i="66"/>
  <c r="J39" i="66"/>
  <c r="K185" i="66"/>
  <c r="M176" i="66"/>
  <c r="J15" i="66"/>
  <c r="H81" i="66"/>
  <c r="L179" i="66"/>
  <c r="K75" i="66"/>
  <c r="N285" i="66"/>
  <c r="L274" i="66"/>
  <c r="H49" i="66"/>
  <c r="K84" i="66"/>
  <c r="L259" i="66"/>
  <c r="J37" i="66"/>
  <c r="K44" i="66"/>
  <c r="K221" i="66"/>
  <c r="N168" i="66"/>
  <c r="L161" i="66"/>
  <c r="M256" i="66"/>
  <c r="J19" i="66"/>
  <c r="L38" i="66"/>
  <c r="M130" i="66"/>
  <c r="H151" i="66"/>
  <c r="N174" i="66"/>
  <c r="N134" i="66"/>
  <c r="M200" i="66"/>
  <c r="L143" i="66"/>
  <c r="F36" i="53"/>
  <c r="L90" i="66"/>
  <c r="L114" i="66"/>
  <c r="K171" i="66"/>
  <c r="L118" i="66"/>
  <c r="L275" i="66"/>
  <c r="K163" i="66"/>
  <c r="L14" i="66"/>
  <c r="L49" i="66"/>
  <c r="N241" i="66"/>
  <c r="H54" i="66"/>
  <c r="H267" i="66"/>
  <c r="N289" i="66"/>
  <c r="M81" i="66"/>
  <c r="H91" i="66"/>
  <c r="M205" i="66"/>
  <c r="H279" i="66"/>
  <c r="N70" i="66"/>
  <c r="L280" i="66"/>
  <c r="N160" i="66"/>
  <c r="L55" i="66"/>
  <c r="L109" i="66"/>
  <c r="H102" i="66"/>
  <c r="M72" i="66"/>
  <c r="L151" i="66"/>
  <c r="H273" i="66"/>
  <c r="K279" i="66"/>
  <c r="M51" i="66"/>
  <c r="L50" i="66"/>
  <c r="L282" i="66"/>
  <c r="Z3" i="20"/>
  <c r="L193" i="66"/>
  <c r="K100" i="66"/>
  <c r="N242" i="66"/>
  <c r="M123" i="66"/>
  <c r="L105" i="66"/>
  <c r="H64" i="66"/>
  <c r="M124" i="66"/>
  <c r="H178" i="66"/>
  <c r="H183" i="66"/>
  <c r="L44" i="66"/>
  <c r="N254" i="66"/>
  <c r="N43" i="66"/>
  <c r="K67" i="66"/>
  <c r="L16" i="66"/>
  <c r="N48" i="66"/>
  <c r="H171" i="66"/>
  <c r="N5" i="66"/>
  <c r="H131" i="66"/>
  <c r="K216" i="66"/>
  <c r="N177" i="66"/>
  <c r="L146" i="66"/>
  <c r="L150" i="66"/>
  <c r="L137" i="66"/>
  <c r="M8" i="66"/>
  <c r="H211" i="66"/>
  <c r="H109" i="66"/>
  <c r="H21" i="66"/>
  <c r="L22" i="66"/>
  <c r="N86" i="66"/>
  <c r="L173" i="66"/>
  <c r="H195" i="66"/>
  <c r="H111" i="66"/>
  <c r="K160" i="66"/>
  <c r="M136" i="66"/>
  <c r="N120" i="66"/>
  <c r="H72" i="66"/>
  <c r="K207" i="66"/>
  <c r="L17" i="66"/>
  <c r="M249" i="66"/>
  <c r="J29" i="66"/>
  <c r="J26" i="66"/>
  <c r="M224" i="66"/>
  <c r="H76" i="66"/>
  <c r="N277" i="66"/>
  <c r="H275" i="66"/>
  <c r="L192" i="66"/>
  <c r="L172" i="66"/>
  <c r="N156" i="66"/>
  <c r="M269" i="66"/>
  <c r="N188" i="66"/>
  <c r="H289" i="66"/>
  <c r="L244" i="66"/>
  <c r="M25" i="66"/>
  <c r="K159" i="66"/>
  <c r="K274" i="66"/>
  <c r="H213" i="66"/>
  <c r="L213" i="66"/>
  <c r="H274" i="66"/>
  <c r="N184" i="66"/>
  <c r="L57" i="66"/>
  <c r="L205" i="66"/>
  <c r="L28" i="66"/>
  <c r="M245" i="66"/>
  <c r="L86" i="66"/>
  <c r="N121" i="66"/>
  <c r="H132" i="66"/>
  <c r="N248" i="66"/>
  <c r="N107" i="66"/>
  <c r="N215" i="66"/>
  <c r="M243" i="66"/>
  <c r="L116" i="66"/>
  <c r="M126" i="66"/>
  <c r="H205" i="66"/>
  <c r="M99" i="66"/>
  <c r="M201" i="66"/>
  <c r="N94" i="66"/>
  <c r="K169" i="66"/>
  <c r="L43" i="66"/>
  <c r="H291" i="66"/>
  <c r="L148" i="66"/>
  <c r="L4" i="66"/>
  <c r="H108" i="66"/>
  <c r="K149" i="66"/>
  <c r="L98" i="66"/>
  <c r="L160" i="66"/>
  <c r="H134" i="66"/>
  <c r="N217" i="66"/>
  <c r="M128" i="66"/>
  <c r="N206" i="66"/>
  <c r="M34" i="66"/>
  <c r="L256" i="66"/>
  <c r="L186" i="66"/>
  <c r="H24" i="66"/>
  <c r="K277" i="66"/>
  <c r="M70" i="66"/>
  <c r="M66" i="66"/>
  <c r="J47" i="66"/>
  <c r="H198" i="66"/>
  <c r="L91" i="66"/>
  <c r="N59" i="66"/>
  <c r="K227" i="66"/>
  <c r="M257" i="66"/>
  <c r="N251" i="66"/>
  <c r="H200" i="66"/>
  <c r="L65" i="66"/>
  <c r="N186" i="66"/>
  <c r="M262" i="66"/>
  <c r="L181" i="66"/>
  <c r="H103" i="66"/>
  <c r="J40" i="66"/>
  <c r="K152" i="66"/>
  <c r="K178" i="66"/>
  <c r="N92" i="66"/>
  <c r="N207" i="66"/>
  <c r="K193" i="66"/>
  <c r="K123" i="66"/>
  <c r="N172" i="66"/>
  <c r="K83" i="66"/>
  <c r="L215" i="66"/>
  <c r="M223" i="66"/>
  <c r="H127" i="66"/>
  <c r="N225" i="66"/>
  <c r="H105" i="66"/>
  <c r="L15" i="66"/>
  <c r="N286" i="66"/>
  <c r="L230" i="66"/>
  <c r="L209" i="66"/>
  <c r="L5" i="66"/>
  <c r="N196" i="66"/>
  <c r="K184" i="66"/>
  <c r="L175" i="66"/>
  <c r="N202" i="66"/>
  <c r="N144" i="66"/>
  <c r="M96" i="66"/>
  <c r="M15" i="66"/>
  <c r="N139" i="66"/>
  <c r="H79" i="66"/>
  <c r="K271" i="66"/>
  <c r="M271" i="66"/>
  <c r="H167" i="66"/>
  <c r="N143" i="66"/>
  <c r="M155" i="66"/>
  <c r="M203" i="66"/>
  <c r="M120" i="66"/>
  <c r="H87" i="66"/>
  <c r="N26" i="66"/>
  <c r="N119" i="66"/>
  <c r="L176" i="66"/>
  <c r="M158" i="66"/>
  <c r="N187" i="66"/>
  <c r="M88" i="66"/>
  <c r="K284" i="66"/>
  <c r="N132" i="66"/>
  <c r="K41" i="66"/>
  <c r="K214" i="66"/>
  <c r="K179" i="66"/>
  <c r="L242" i="66"/>
  <c r="N138" i="66"/>
  <c r="M232" i="66"/>
  <c r="N32" i="66"/>
  <c r="J13" i="66"/>
  <c r="M268" i="66"/>
  <c r="M17" i="66"/>
  <c r="H160" i="66"/>
  <c r="N127" i="66"/>
  <c r="J44" i="66"/>
  <c r="K125" i="66"/>
  <c r="L78" i="66"/>
  <c r="J48" i="66"/>
  <c r="M182" i="66"/>
  <c r="H228" i="66"/>
  <c r="M289" i="66"/>
  <c r="M119" i="66"/>
  <c r="N169" i="66"/>
  <c r="H189" i="66"/>
  <c r="K15" i="66"/>
  <c r="K131" i="66"/>
  <c r="M237" i="66"/>
  <c r="M14" i="66"/>
  <c r="L202" i="66"/>
  <c r="M238" i="66"/>
  <c r="K236" i="66"/>
  <c r="L133" i="66"/>
  <c r="N230" i="66"/>
  <c r="M154" i="66"/>
  <c r="K104" i="66"/>
  <c r="N128" i="66"/>
  <c r="L182" i="66"/>
  <c r="H51" i="66"/>
  <c r="L258" i="66"/>
  <c r="M241" i="66"/>
  <c r="L68" i="66"/>
  <c r="K25" i="66"/>
  <c r="L99" i="66"/>
  <c r="M285" i="66"/>
  <c r="K87" i="66"/>
  <c r="K50" i="66"/>
  <c r="N44" i="66"/>
  <c r="L84" i="66"/>
  <c r="N18" i="66"/>
  <c r="M211" i="66"/>
  <c r="H34" i="66"/>
  <c r="H172" i="66"/>
  <c r="L135" i="66"/>
  <c r="K91" i="66"/>
  <c r="K14" i="66"/>
  <c r="H208" i="66"/>
  <c r="M274" i="66"/>
  <c r="L30" i="66"/>
  <c r="L166" i="66"/>
  <c r="K118" i="66"/>
  <c r="M279" i="66"/>
  <c r="K98" i="66"/>
  <c r="K18" i="66"/>
  <c r="K242" i="66"/>
  <c r="J30" i="66"/>
  <c r="K103" i="66"/>
  <c r="M31" i="66"/>
  <c r="K92" i="66"/>
  <c r="L191" i="66"/>
  <c r="K140" i="66"/>
  <c r="M190" i="66"/>
  <c r="M254" i="66"/>
  <c r="L266" i="66"/>
  <c r="J11" i="66"/>
  <c r="N192" i="66"/>
  <c r="N112" i="66"/>
  <c r="J7" i="66"/>
  <c r="L66" i="66"/>
  <c r="M26" i="66"/>
  <c r="N74" i="66"/>
  <c r="K88" i="66"/>
  <c r="L217" i="66"/>
  <c r="M118" i="66"/>
  <c r="N220" i="66"/>
  <c r="M240" i="66"/>
  <c r="N155" i="66"/>
  <c r="K36" i="66"/>
  <c r="M183" i="66"/>
  <c r="N252" i="66"/>
  <c r="M105" i="66"/>
  <c r="L101" i="66"/>
  <c r="K259" i="66"/>
  <c r="K233" i="66"/>
  <c r="J21" i="66"/>
  <c r="M87" i="66"/>
  <c r="M244" i="66"/>
  <c r="L47" i="66"/>
  <c r="M77" i="66"/>
  <c r="N96" i="66"/>
  <c r="L165" i="66"/>
  <c r="K27" i="66"/>
  <c r="H4" i="66"/>
  <c r="L263" i="66"/>
  <c r="M162" i="66"/>
  <c r="M264" i="66"/>
  <c r="N38" i="66"/>
  <c r="L46" i="66"/>
  <c r="L144" i="66"/>
  <c r="K101" i="66"/>
  <c r="H147" i="66"/>
  <c r="H229" i="66"/>
  <c r="N50" i="66"/>
  <c r="N125" i="66"/>
  <c r="L126" i="66"/>
  <c r="N290" i="66"/>
  <c r="K232" i="66"/>
  <c r="M288" i="66"/>
  <c r="N8" i="66"/>
  <c r="L136" i="66"/>
  <c r="L37" i="66"/>
  <c r="L35" i="66"/>
  <c r="K219" i="66"/>
  <c r="H220" i="66"/>
  <c r="N57" i="66"/>
  <c r="N273" i="66"/>
  <c r="M145" i="66"/>
  <c r="M239" i="66"/>
  <c r="K258" i="66"/>
  <c r="M188" i="66"/>
  <c r="M58" i="66"/>
  <c r="L128" i="66"/>
  <c r="H57" i="66"/>
  <c r="H216" i="66"/>
  <c r="H237" i="66"/>
  <c r="N64" i="66"/>
  <c r="H206" i="66"/>
  <c r="L261" i="66"/>
  <c r="M235" i="66"/>
  <c r="N249" i="66"/>
  <c r="J33" i="66"/>
  <c r="N114" i="66"/>
  <c r="M113" i="66"/>
  <c r="K127" i="66"/>
  <c r="K35" i="66"/>
  <c r="M191" i="66"/>
  <c r="L155" i="66"/>
  <c r="M12" i="66"/>
  <c r="N12" i="66"/>
  <c r="K187" i="66"/>
  <c r="K16" i="66"/>
  <c r="L120" i="66"/>
  <c r="L11" i="66"/>
  <c r="K73" i="66"/>
  <c r="L79" i="66"/>
  <c r="H37" i="66"/>
  <c r="N40" i="66"/>
  <c r="M86" i="66"/>
  <c r="N158" i="66"/>
  <c r="N191" i="66"/>
  <c r="N124" i="66"/>
  <c r="N229" i="66"/>
  <c r="L140" i="66"/>
  <c r="N278" i="66"/>
  <c r="M231" i="66"/>
  <c r="L100" i="66"/>
  <c r="N23" i="66"/>
  <c r="K107" i="66"/>
  <c r="L125" i="66"/>
  <c r="L233" i="66"/>
  <c r="N181" i="66"/>
  <c r="H123" i="66"/>
  <c r="H233" i="66"/>
  <c r="K155" i="66"/>
  <c r="M64" i="66"/>
  <c r="M222" i="66"/>
  <c r="L231" i="66"/>
  <c r="N232" i="66"/>
  <c r="N111" i="66"/>
  <c r="N245" i="66"/>
  <c r="H83" i="66"/>
  <c r="L71" i="66"/>
  <c r="L112" i="66"/>
  <c r="N151" i="66"/>
  <c r="K120" i="66"/>
  <c r="N141" i="66"/>
  <c r="M48" i="66"/>
  <c r="N175" i="66"/>
  <c r="K196" i="66"/>
  <c r="M173" i="66"/>
  <c r="H261" i="66"/>
  <c r="M196" i="66"/>
  <c r="L211" i="66"/>
  <c r="L253" i="66"/>
  <c r="N29" i="66"/>
  <c r="J4" i="66"/>
  <c r="K290" i="66"/>
  <c r="K49" i="66"/>
  <c r="H45" i="66"/>
  <c r="N244" i="66"/>
  <c r="K47" i="66"/>
  <c r="N118" i="66"/>
  <c r="L69" i="66"/>
  <c r="L113" i="66"/>
  <c r="L154" i="66"/>
  <c r="K136" i="66"/>
  <c r="H268" i="66"/>
  <c r="M106" i="66"/>
  <c r="K195" i="66"/>
  <c r="N25" i="66"/>
  <c r="M171" i="66"/>
  <c r="M13" i="66"/>
  <c r="N173" i="66"/>
  <c r="L81" i="66"/>
  <c r="N27" i="66"/>
  <c r="K115" i="66"/>
  <c r="L76" i="66"/>
  <c r="N106" i="66"/>
  <c r="H253" i="66"/>
  <c r="H98" i="66"/>
  <c r="H168" i="66"/>
  <c r="N11" i="66"/>
  <c r="H33" i="66"/>
  <c r="H50" i="66"/>
  <c r="K86" i="66"/>
  <c r="K77" i="66"/>
  <c r="M93" i="66"/>
  <c r="K235" i="66"/>
  <c r="N223" i="66"/>
  <c r="H201" i="66"/>
  <c r="N122" i="66"/>
  <c r="N145" i="66"/>
  <c r="L251" i="66"/>
  <c r="L237" i="66"/>
  <c r="H277" i="66"/>
  <c r="N259" i="66"/>
  <c r="L220" i="66"/>
  <c r="M236" i="66"/>
  <c r="N182" i="66"/>
  <c r="M160" i="66"/>
  <c r="N123" i="66"/>
  <c r="L139" i="66"/>
  <c r="M62" i="66"/>
  <c r="M148" i="66"/>
  <c r="H150" i="66"/>
  <c r="K139" i="66"/>
  <c r="N115" i="66"/>
  <c r="L156" i="66"/>
  <c r="K244" i="66"/>
  <c r="M270" i="66"/>
  <c r="N255" i="66"/>
  <c r="K269" i="66"/>
  <c r="N15" i="66"/>
  <c r="L265" i="66"/>
  <c r="N88" i="66"/>
  <c r="H241" i="66"/>
  <c r="L149" i="66"/>
  <c r="M255" i="66"/>
  <c r="N60" i="66"/>
  <c r="N214" i="66"/>
  <c r="M170" i="66"/>
  <c r="L70" i="66"/>
  <c r="N24" i="66"/>
  <c r="H12" i="66"/>
  <c r="K130" i="66"/>
  <c r="L246" i="66"/>
  <c r="N193" i="66"/>
  <c r="L34" i="66"/>
  <c r="K158" i="66"/>
  <c r="L273" i="66"/>
  <c r="N218" i="66"/>
  <c r="K289" i="66"/>
  <c r="L238" i="66"/>
  <c r="H143" i="66"/>
  <c r="N208" i="66"/>
  <c r="M287" i="66"/>
  <c r="H27" i="66"/>
  <c r="K275" i="66"/>
  <c r="K24" i="66"/>
  <c r="L249" i="66"/>
  <c r="L18" i="66"/>
  <c r="N28" i="66"/>
  <c r="J6" i="66"/>
  <c r="L212" i="66"/>
  <c r="H231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H230" i="66"/>
  <c r="K251" i="66"/>
  <c r="H165" i="66"/>
  <c r="K248" i="66"/>
  <c r="K197" i="66"/>
  <c r="K173" i="66"/>
  <c r="H199" i="66"/>
  <c r="L23" i="66"/>
  <c r="N136" i="66"/>
  <c r="K225" i="66"/>
  <c r="H60" i="66"/>
  <c r="L10" i="66"/>
  <c r="L201" i="66"/>
  <c r="H19" i="66"/>
  <c r="M65" i="66"/>
  <c r="N201" i="66"/>
  <c r="K72" i="66"/>
  <c r="L83" i="66"/>
  <c r="N98" i="66"/>
  <c r="K112" i="66"/>
  <c r="L260" i="66"/>
  <c r="N270" i="66"/>
  <c r="N237" i="66"/>
  <c r="M101" i="66"/>
  <c r="L107" i="66"/>
  <c r="M215" i="66"/>
  <c r="M149" i="66"/>
  <c r="M23" i="66"/>
  <c r="L74" i="66"/>
  <c r="K97" i="66"/>
  <c r="N9" i="66"/>
  <c r="N197" i="66"/>
  <c r="M258" i="66"/>
  <c r="H276" i="66"/>
  <c r="K182" i="66"/>
  <c r="L29" i="66"/>
  <c r="H8" i="66"/>
  <c r="H112" i="66"/>
  <c r="N46" i="66"/>
  <c r="L32" i="66"/>
  <c r="L189" i="66"/>
  <c r="L196" i="66"/>
  <c r="H89" i="66"/>
  <c r="L162" i="66"/>
  <c r="M174" i="66"/>
  <c r="L117" i="66"/>
  <c r="K134" i="66"/>
  <c r="M163" i="66"/>
  <c r="H152" i="66"/>
  <c r="K31" i="66"/>
  <c r="K5" i="66"/>
  <c r="N224" i="66"/>
  <c r="M80" i="66"/>
  <c r="L25" i="66"/>
  <c r="K228" i="66"/>
  <c r="L64" i="66"/>
  <c r="J12" i="66"/>
  <c r="N210" i="66"/>
  <c r="H95" i="66"/>
  <c r="M267" i="66"/>
  <c r="H158" i="66"/>
  <c r="K143" i="66"/>
  <c r="H187" i="66"/>
  <c r="H106" i="66"/>
  <c r="N235" i="66"/>
  <c r="L153" i="66"/>
  <c r="K205" i="66"/>
  <c r="N163" i="66"/>
  <c r="H287" i="66"/>
  <c r="M204" i="66"/>
  <c r="J45" i="66"/>
  <c r="L194" i="66"/>
  <c r="N280" i="66"/>
  <c r="L97" i="66"/>
  <c r="N266" i="66"/>
  <c r="H55" i="66"/>
  <c r="N250" i="66"/>
  <c r="H246" i="66"/>
  <c r="M63" i="66"/>
  <c r="H204" i="66"/>
  <c r="M280" i="66"/>
  <c r="L110" i="66"/>
  <c r="N100" i="66"/>
  <c r="N153" i="66"/>
  <c r="J10" i="66"/>
  <c r="M138" i="66"/>
  <c r="K168" i="66"/>
  <c r="H75" i="66"/>
  <c r="N203" i="66"/>
  <c r="L288" i="66"/>
  <c r="K79" i="66"/>
  <c r="L122" i="66"/>
  <c r="H130" i="66"/>
  <c r="N101" i="66"/>
  <c r="N157" i="66"/>
  <c r="M175" i="66"/>
  <c r="M33" i="66"/>
  <c r="M225" i="66"/>
  <c r="N140" i="66"/>
  <c r="L168" i="66"/>
  <c r="L285" i="66"/>
  <c r="K121" i="66"/>
  <c r="H142" i="66"/>
  <c r="L269" i="66"/>
  <c r="N103" i="66"/>
  <c r="H97" i="66"/>
  <c r="N167" i="66"/>
  <c r="K110" i="66"/>
  <c r="H146" i="66"/>
  <c r="J42" i="66"/>
  <c r="H259" i="66"/>
  <c r="K61" i="66"/>
  <c r="M10" i="66"/>
  <c r="L19" i="66"/>
  <c r="N71" i="66"/>
  <c r="M52" i="66"/>
  <c r="M161" i="66"/>
  <c r="N58" i="66"/>
  <c r="M114" i="66"/>
  <c r="N75" i="66"/>
  <c r="N262" i="66"/>
  <c r="H290" i="66"/>
  <c r="L199" i="66"/>
  <c r="M140" i="66"/>
  <c r="K181" i="66"/>
  <c r="L138" i="66"/>
  <c r="N240" i="66"/>
  <c r="H283" i="66"/>
  <c r="L216" i="66"/>
  <c r="L234" i="66"/>
  <c r="M19" i="66"/>
  <c r="M46" i="66"/>
  <c r="H84" i="66"/>
  <c r="N67" i="66"/>
  <c r="K229" i="66"/>
  <c r="L291" i="66"/>
  <c r="K200" i="66"/>
  <c r="M9" i="66"/>
  <c r="H179" i="66"/>
  <c r="L169" i="66"/>
  <c r="M5" i="66"/>
  <c r="N146" i="66"/>
  <c r="L206" i="66"/>
  <c r="N190" i="66"/>
  <c r="M60" i="66"/>
  <c r="N216" i="66"/>
  <c r="L24" i="66"/>
  <c r="H256" i="66"/>
  <c r="K166" i="66"/>
  <c r="L178" i="66"/>
  <c r="K151" i="66"/>
  <c r="H28" i="66"/>
  <c r="J23" i="66"/>
  <c r="M226" i="66"/>
  <c r="M248" i="66"/>
  <c r="M187" i="66"/>
  <c r="H215" i="66"/>
  <c r="J20" i="66"/>
  <c r="M125" i="66"/>
  <c r="N170" i="66"/>
  <c r="H86" i="66"/>
  <c r="L177" i="66"/>
  <c r="J25" i="66"/>
  <c r="K33" i="66"/>
  <c r="N82" i="66"/>
  <c r="L232" i="66"/>
  <c r="M157" i="66"/>
  <c r="L167" i="66"/>
  <c r="H93" i="66"/>
  <c r="K280" i="66"/>
  <c r="H41" i="66"/>
  <c r="L281" i="66"/>
  <c r="J16" i="66"/>
  <c r="L271" i="66"/>
  <c r="L227" i="66"/>
  <c r="K175" i="66"/>
  <c r="L187" i="66"/>
  <c r="H157" i="66"/>
  <c r="L12" i="66"/>
  <c r="L141" i="66"/>
  <c r="M134" i="66"/>
  <c r="H244" i="66"/>
  <c r="H71" i="66"/>
  <c r="K111" i="66"/>
  <c r="M40" i="66"/>
  <c r="K133" i="66"/>
  <c r="M210" i="66"/>
  <c r="K183" i="66"/>
  <c r="M178" i="66"/>
  <c r="N148" i="66"/>
  <c r="N226" i="66"/>
  <c r="K52" i="66"/>
  <c r="N152" i="66"/>
  <c r="L278" i="66"/>
  <c r="M193" i="66"/>
  <c r="H52" i="66"/>
  <c r="N265" i="66"/>
  <c r="M18" i="66"/>
  <c r="H99" i="66"/>
  <c r="L190" i="66"/>
  <c r="N176" i="66"/>
  <c r="M71" i="66"/>
  <c r="H156" i="66"/>
  <c r="M121" i="66"/>
  <c r="K70" i="66"/>
  <c r="M218" i="66"/>
  <c r="H104" i="66"/>
  <c r="N253" i="66"/>
  <c r="J34" i="66"/>
  <c r="H145" i="66"/>
  <c r="H252" i="66"/>
  <c r="L62" i="66"/>
  <c r="M122" i="66"/>
  <c r="N62" i="66"/>
  <c r="K180" i="66"/>
  <c r="L163" i="66"/>
  <c r="L82" i="66"/>
  <c r="M100" i="66"/>
  <c r="M104" i="66"/>
  <c r="M75" i="66"/>
  <c r="M108" i="66"/>
  <c r="M250" i="66"/>
  <c r="H38" i="66"/>
  <c r="L210" i="66"/>
  <c r="L157" i="66"/>
  <c r="L264" i="66"/>
  <c r="K59" i="66"/>
  <c r="K230" i="66"/>
  <c r="H36" i="66"/>
  <c r="L270" i="66"/>
  <c r="H235" i="66"/>
  <c r="N284" i="66"/>
  <c r="L132" i="66"/>
  <c r="N142" i="66"/>
  <c r="N76" i="66"/>
  <c r="M79" i="66"/>
  <c r="K199" i="66"/>
  <c r="J14" i="66"/>
  <c r="L226" i="66"/>
  <c r="L115" i="66"/>
  <c r="M234" i="66"/>
  <c r="L164" i="66"/>
  <c r="M152" i="66"/>
  <c r="H63" i="66"/>
  <c r="N239" i="66"/>
  <c r="L127" i="66"/>
  <c r="K243" i="66"/>
  <c r="N162" i="66"/>
  <c r="H153" i="66"/>
  <c r="H133" i="66"/>
  <c r="K56" i="66"/>
  <c r="J38" i="66"/>
  <c r="M112" i="66"/>
  <c r="M45" i="66"/>
  <c r="N30" i="66"/>
  <c r="K256" i="66"/>
  <c r="L72" i="66"/>
  <c r="M266" i="66"/>
  <c r="K55" i="66"/>
  <c r="L36" i="66"/>
  <c r="L188" i="66"/>
  <c r="L6" i="66"/>
  <c r="N194" i="66"/>
  <c r="J22" i="66"/>
  <c r="K194" i="66"/>
  <c r="N77" i="66"/>
  <c r="K191" i="66"/>
  <c r="N236" i="66"/>
  <c r="J35" i="66"/>
  <c r="L283" i="66"/>
  <c r="L235" i="66"/>
  <c r="H94" i="66"/>
  <c r="M167" i="66"/>
  <c r="L239" i="66"/>
  <c r="H227" i="66"/>
  <c r="H137" i="66"/>
  <c r="K278" i="66"/>
  <c r="M263" i="66"/>
  <c r="L284" i="66"/>
  <c r="M47" i="66"/>
  <c r="L197" i="66"/>
  <c r="N205" i="66"/>
  <c r="H207" i="66"/>
  <c r="H271" i="66"/>
  <c r="H281" i="66"/>
  <c r="H250" i="66"/>
  <c r="M49" i="66"/>
  <c r="J41" i="66"/>
  <c r="H56" i="66"/>
  <c r="K7" i="66"/>
  <c r="L145" i="66"/>
  <c r="H135" i="66"/>
  <c r="H226" i="66"/>
  <c r="K43" i="66"/>
  <c r="N22" i="66"/>
  <c r="M16" i="66"/>
  <c r="M61" i="66"/>
  <c r="J5" i="66"/>
  <c r="H16" i="66"/>
  <c r="L48" i="66"/>
  <c r="J43" i="66"/>
  <c r="K64" i="66"/>
  <c r="N126" i="66"/>
  <c r="M27" i="66"/>
  <c r="M57" i="66"/>
  <c r="L53" i="66"/>
  <c r="N90" i="66"/>
  <c r="L33" i="66"/>
  <c r="M217" i="66"/>
  <c r="L184" i="66"/>
  <c r="L134" i="66"/>
  <c r="M29" i="66"/>
  <c r="M195" i="66"/>
  <c r="K245" i="66"/>
  <c r="M283" i="66"/>
  <c r="K177" i="66"/>
  <c r="N269" i="66"/>
  <c r="H124" i="66"/>
  <c r="K147" i="66"/>
  <c r="H286" i="66"/>
  <c r="M286" i="66"/>
  <c r="H254" i="66"/>
  <c r="K162" i="66"/>
  <c r="K265" i="66"/>
  <c r="K137" i="66"/>
  <c r="M78" i="66"/>
  <c r="L289" i="66"/>
  <c r="L40" i="66"/>
  <c r="J36" i="66"/>
  <c r="L195" i="66"/>
  <c r="L272" i="66"/>
  <c r="H9" i="66"/>
  <c r="K109" i="66"/>
  <c r="N52" i="66"/>
  <c r="J28" i="66"/>
  <c r="L225" i="66"/>
  <c r="L287" i="66"/>
  <c r="K239" i="66"/>
  <c r="K81" i="66"/>
  <c r="M273" i="66"/>
  <c r="L257" i="66"/>
  <c r="K217" i="66"/>
  <c r="L42" i="66"/>
  <c r="K62" i="66"/>
  <c r="L13" i="66"/>
  <c r="L223" i="66"/>
  <c r="M220" i="66"/>
  <c r="L87" i="66"/>
  <c r="M206" i="66"/>
  <c r="K276" i="66"/>
  <c r="H175" i="66"/>
  <c r="H202" i="66"/>
  <c r="H255" i="66"/>
  <c r="L147" i="66"/>
  <c r="N287" i="66"/>
  <c r="L228" i="66"/>
  <c r="L88" i="66"/>
  <c r="M53" i="66"/>
  <c r="M73" i="66"/>
  <c r="H193" i="66"/>
  <c r="N34" i="66"/>
  <c r="L170" i="66"/>
  <c r="N49" i="66"/>
  <c r="N247" i="66"/>
  <c r="M147" i="66"/>
  <c r="N228" i="66"/>
  <c r="M67" i="66"/>
  <c r="N47" i="66"/>
  <c r="H196" i="66"/>
  <c r="K11" i="66"/>
  <c r="L80" i="66"/>
  <c r="H159" i="66"/>
  <c r="K146" i="66"/>
  <c r="M189" i="66"/>
  <c r="L240" i="66"/>
  <c r="M168" i="66"/>
  <c r="M95" i="66"/>
  <c r="L45" i="66"/>
  <c r="N272" i="66"/>
  <c r="H247" i="66"/>
  <c r="L214" i="66"/>
  <c r="M166" i="66"/>
  <c r="K19" i="66"/>
  <c r="L67" i="66"/>
  <c r="L290" i="66"/>
  <c r="H249" i="66"/>
  <c r="H14" i="66"/>
  <c r="H39" i="66"/>
  <c r="H115" i="66"/>
  <c r="N33" i="66"/>
  <c r="H264" i="66"/>
  <c r="N288" i="66"/>
  <c r="L92" i="66"/>
  <c r="N31" i="66"/>
  <c r="K51" i="66"/>
  <c r="N93" i="66"/>
  <c r="N13" i="66"/>
  <c r="N263" i="66"/>
  <c r="L236" i="66"/>
  <c r="H47" i="66"/>
  <c r="N105" i="66"/>
  <c r="N200" i="66"/>
  <c r="K63" i="66"/>
  <c r="M28" i="66"/>
  <c r="L221" i="66"/>
  <c r="H185" i="66"/>
  <c r="H163" i="66"/>
  <c r="L95" i="66"/>
  <c r="L279" i="66"/>
  <c r="H120" i="66"/>
  <c r="N78" i="66"/>
  <c r="M82" i="66"/>
  <c r="K210" i="66"/>
  <c r="M44" i="66"/>
  <c r="H139" i="66"/>
  <c r="K13" i="66"/>
  <c r="H182" i="66"/>
  <c r="K22" i="66"/>
  <c r="K38" i="66"/>
  <c r="H141" i="66"/>
  <c r="K95" i="66"/>
  <c r="H180" i="66"/>
  <c r="M129" i="66"/>
  <c r="M284" i="66"/>
  <c r="M111" i="66"/>
  <c r="M207" i="66"/>
  <c r="K211" i="66"/>
  <c r="L204" i="66"/>
  <c r="M135" i="66"/>
  <c r="M38" i="66"/>
  <c r="N7" i="66"/>
  <c r="N16" i="66"/>
  <c r="M214" i="66"/>
  <c r="M24" i="66"/>
  <c r="N180" i="66"/>
  <c r="L218" i="66"/>
  <c r="L26" i="66"/>
  <c r="K40" i="66"/>
  <c r="N199" i="66"/>
  <c r="L174" i="66"/>
  <c r="N4" i="66"/>
  <c r="K254" i="66"/>
  <c r="N97" i="66"/>
  <c r="N73" i="66"/>
  <c r="L103" i="66"/>
  <c r="L129" i="66"/>
  <c r="K273" i="66"/>
  <c r="M192" i="66"/>
  <c r="K255" i="66"/>
  <c r="L9" i="66"/>
  <c r="K39" i="66"/>
  <c r="M291" i="66"/>
  <c r="N104" i="66"/>
  <c r="M142" i="66"/>
  <c r="N63" i="66"/>
  <c r="N282" i="66"/>
  <c r="H100" i="66"/>
  <c r="N53" i="66"/>
  <c r="K66" i="66"/>
  <c r="M172" i="66"/>
  <c r="H15" i="66"/>
  <c r="K188" i="66"/>
  <c r="J50" i="66"/>
  <c r="N37" i="66"/>
  <c r="N95" i="66"/>
  <c r="L183" i="66"/>
  <c r="H82" i="66"/>
  <c r="H117" i="66"/>
  <c r="N166" i="66"/>
  <c r="L255" i="66"/>
  <c r="D261" i="72" a="1"/>
  <c r="D261" i="72" s="1"/>
  <c r="D136" i="72" a="1"/>
  <c r="D136" i="72" s="1"/>
  <c r="M38" i="74" l="1"/>
  <c r="K37" i="74"/>
  <c r="X37" i="74" s="1"/>
  <c r="J146" i="74"/>
  <c r="M86" i="74"/>
  <c r="T37" i="66"/>
  <c r="J129" i="74"/>
  <c r="L31" i="74"/>
  <c r="M4" i="74"/>
  <c r="Q4" i="66"/>
  <c r="W4" i="66" s="1"/>
  <c r="J12" i="74"/>
  <c r="E20" i="34"/>
  <c r="M115" i="74"/>
  <c r="J120" i="74"/>
  <c r="M53" i="74"/>
  <c r="S192" i="66"/>
  <c r="J437" i="41"/>
  <c r="S172" i="66"/>
  <c r="J130" i="74"/>
  <c r="M56" i="74"/>
  <c r="J141" i="74"/>
  <c r="H260" i="66"/>
  <c r="S189" i="66"/>
  <c r="M121" i="74"/>
  <c r="M11" i="74"/>
  <c r="J114" i="74"/>
  <c r="N63" i="74"/>
  <c r="N58" i="74"/>
  <c r="M67" i="74"/>
  <c r="N112" i="74"/>
  <c r="G91" i="74"/>
  <c r="Q157" i="66"/>
  <c r="W157" i="66" s="1"/>
  <c r="N133" i="74"/>
  <c r="G106" i="74"/>
  <c r="S167" i="66"/>
  <c r="X157" i="66"/>
  <c r="Q99" i="66"/>
  <c r="W99" i="66" s="1"/>
  <c r="Y99" i="66" s="1"/>
  <c r="M72" i="74"/>
  <c r="M22" i="74"/>
  <c r="T99" i="66"/>
  <c r="L138" i="74"/>
  <c r="T114" i="66"/>
  <c r="I473" i="58"/>
  <c r="I473" i="41" s="1"/>
  <c r="N15" i="74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X176" i="66"/>
  <c r="K53" i="74"/>
  <c r="S53" i="74" s="1"/>
  <c r="S176" i="66"/>
  <c r="U176" i="66" s="1"/>
  <c r="H25" i="74"/>
  <c r="J104" i="74"/>
  <c r="L103" i="74"/>
  <c r="L99" i="74"/>
  <c r="N14" i="74"/>
  <c r="N105" i="74"/>
  <c r="G100" i="74"/>
  <c r="O6" i="41"/>
  <c r="X132" i="66"/>
  <c r="L6" i="74"/>
  <c r="T4" i="66"/>
  <c r="J73" i="74"/>
  <c r="M109" i="74"/>
  <c r="N25" i="74"/>
  <c r="K114" i="74"/>
  <c r="X114" i="74" s="1"/>
  <c r="N142" i="74"/>
  <c r="J79" i="74"/>
  <c r="N27" i="74"/>
  <c r="N47" i="74"/>
  <c r="N97" i="74"/>
  <c r="G283" i="66"/>
  <c r="O283" i="66" s="1"/>
  <c r="K4" i="74"/>
  <c r="T4" i="74" s="1"/>
  <c r="N17" i="74"/>
  <c r="X4" i="66"/>
  <c r="E13" i="39"/>
  <c r="E14" i="39"/>
  <c r="N95" i="74"/>
  <c r="G284" i="66"/>
  <c r="AB3" i="39"/>
  <c r="G71" i="74"/>
  <c r="G124" i="74"/>
  <c r="L69" i="74"/>
  <c r="H73" i="74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M129" i="74"/>
  <c r="M52" i="74"/>
  <c r="T34" i="66"/>
  <c r="M134" i="74"/>
  <c r="L129" i="74"/>
  <c r="S99" i="66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X9" i="66"/>
  <c r="J41" i="74"/>
  <c r="L141" i="74"/>
  <c r="L24" i="74"/>
  <c r="M39" i="74"/>
  <c r="M40" i="74"/>
  <c r="Q9" i="66"/>
  <c r="W9" i="66" s="1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X124" i="66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X190" i="66"/>
  <c r="Q190" i="66"/>
  <c r="W190" i="66" s="1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X288" i="66"/>
  <c r="J175" i="18"/>
  <c r="F175" i="18"/>
  <c r="K76" i="74"/>
  <c r="L62" i="74"/>
  <c r="J13" i="74"/>
  <c r="N26" i="74"/>
  <c r="M15" i="74"/>
  <c r="Q272" i="66"/>
  <c r="X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W156" i="66" s="1"/>
  <c r="X156" i="66"/>
  <c r="H74" i="74"/>
  <c r="H257" i="66"/>
  <c r="J449" i="58"/>
  <c r="I10" i="18"/>
  <c r="H10" i="18"/>
  <c r="Q237" i="66"/>
  <c r="X237" i="66"/>
  <c r="T237" i="66"/>
  <c r="H48" i="74"/>
  <c r="O48" i="66"/>
  <c r="H77" i="74"/>
  <c r="O77" i="66"/>
  <c r="J441" i="37"/>
  <c r="J441" i="41" s="1"/>
  <c r="H116" i="66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X23" i="66"/>
  <c r="Q23" i="66"/>
  <c r="W23" i="66" s="1"/>
  <c r="K23" i="74"/>
  <c r="H136" i="66"/>
  <c r="J446" i="37"/>
  <c r="H128" i="66"/>
  <c r="J448" i="37"/>
  <c r="K96" i="74"/>
  <c r="T96" i="66"/>
  <c r="Q96" i="66"/>
  <c r="X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X167" i="66"/>
  <c r="Q167" i="66"/>
  <c r="W167" i="66" s="1"/>
  <c r="T167" i="66"/>
  <c r="J93" i="18"/>
  <c r="F93" i="18"/>
  <c r="J259" i="18"/>
  <c r="F259" i="18"/>
  <c r="I51" i="18"/>
  <c r="H51" i="18"/>
  <c r="H12" i="18"/>
  <c r="I12" i="18"/>
  <c r="J463" i="58"/>
  <c r="K250" i="66"/>
  <c r="O250" i="66" s="1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T117" i="66"/>
  <c r="X117" i="66"/>
  <c r="O214" i="66"/>
  <c r="F177" i="18"/>
  <c r="J177" i="18"/>
  <c r="J453" i="37"/>
  <c r="H140" i="66"/>
  <c r="X192" i="66"/>
  <c r="T192" i="66"/>
  <c r="Q192" i="66"/>
  <c r="W192" i="66" s="1"/>
  <c r="J170" i="18"/>
  <c r="F170" i="18"/>
  <c r="I50" i="18"/>
  <c r="H50" i="18"/>
  <c r="F89" i="18"/>
  <c r="J89" i="18"/>
  <c r="O173" i="66"/>
  <c r="X165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X128" i="66"/>
  <c r="T128" i="66"/>
  <c r="Q128" i="66"/>
  <c r="K128" i="74"/>
  <c r="H45" i="18"/>
  <c r="I45" i="18"/>
  <c r="Q93" i="66"/>
  <c r="X93" i="66"/>
  <c r="T93" i="66"/>
  <c r="K93" i="74"/>
  <c r="Q76" i="66"/>
  <c r="L95" i="74"/>
  <c r="M147" i="74"/>
  <c r="L47" i="74"/>
  <c r="M14" i="74"/>
  <c r="S231" i="66"/>
  <c r="L14" i="74"/>
  <c r="J15" i="74"/>
  <c r="Q224" i="66"/>
  <c r="T224" i="66"/>
  <c r="X224" i="66"/>
  <c r="G143" i="66"/>
  <c r="G143" i="74" s="1"/>
  <c r="J430" i="41"/>
  <c r="K106" i="66"/>
  <c r="J463" i="37"/>
  <c r="T48" i="66"/>
  <c r="Q48" i="66"/>
  <c r="W48" i="66" s="1"/>
  <c r="X48" i="66"/>
  <c r="K48" i="74"/>
  <c r="H96" i="74"/>
  <c r="O96" i="66"/>
  <c r="F128" i="18"/>
  <c r="J128" i="18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X204" i="66"/>
  <c r="T204" i="66"/>
  <c r="Q204" i="66"/>
  <c r="X261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269" i="66"/>
  <c r="O269" i="66" s="1"/>
  <c r="J450" i="58"/>
  <c r="L9" i="74"/>
  <c r="Q220" i="66"/>
  <c r="N10" i="74"/>
  <c r="Q231" i="66"/>
  <c r="W231" i="66" s="1"/>
  <c r="Y231" i="66" s="1"/>
  <c r="F225" i="18"/>
  <c r="J225" i="18"/>
  <c r="Q46" i="66"/>
  <c r="W46" i="66" s="1"/>
  <c r="T46" i="66"/>
  <c r="K46" i="74"/>
  <c r="X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X12" i="66"/>
  <c r="K12" i="74"/>
  <c r="T12" i="66"/>
  <c r="Q12" i="66"/>
  <c r="W12" i="66" s="1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W154" i="66" s="1"/>
  <c r="X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W172" i="66" s="1"/>
  <c r="T172" i="66"/>
  <c r="X172" i="66"/>
  <c r="H113" i="66"/>
  <c r="J449" i="37"/>
  <c r="J138" i="18"/>
  <c r="F138" i="18"/>
  <c r="J298" i="18"/>
  <c r="F298" i="18"/>
  <c r="I458" i="37"/>
  <c r="I459" i="37"/>
  <c r="K94" i="66"/>
  <c r="O94" i="66" s="1"/>
  <c r="F87" i="18"/>
  <c r="J87" i="18"/>
  <c r="J178" i="18"/>
  <c r="F178" i="18"/>
  <c r="H262" i="66"/>
  <c r="O262" i="66" s="1"/>
  <c r="J454" i="58"/>
  <c r="K108" i="66"/>
  <c r="J462" i="37"/>
  <c r="D69" i="72" a="1"/>
  <c r="D69" i="72" s="1"/>
  <c r="I4" i="18"/>
  <c r="H4" i="18"/>
  <c r="O240" i="66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X21" i="66"/>
  <c r="K21" i="74"/>
  <c r="J478" i="41"/>
  <c r="E365" i="38"/>
  <c r="L106" i="66" s="1"/>
  <c r="L106" i="74" s="1"/>
  <c r="Q28" i="66"/>
  <c r="W28" i="66" s="1"/>
  <c r="T28" i="66"/>
  <c r="K28" i="74"/>
  <c r="X28" i="66"/>
  <c r="J96" i="18"/>
  <c r="F96" i="18"/>
  <c r="H126" i="66"/>
  <c r="J445" i="37"/>
  <c r="J257" i="18"/>
  <c r="F257" i="18"/>
  <c r="H473" i="41"/>
  <c r="T189" i="66"/>
  <c r="X189" i="66"/>
  <c r="Q189" i="66"/>
  <c r="W189" i="66" s="1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X202" i="66"/>
  <c r="T202" i="66"/>
  <c r="K238" i="66"/>
  <c r="O238" i="66" s="1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X268" i="66"/>
  <c r="J221" i="18"/>
  <c r="F221" i="18"/>
  <c r="N9" i="74"/>
  <c r="M101" i="74"/>
  <c r="L23" i="74"/>
  <c r="J33" i="74"/>
  <c r="J54" i="74"/>
  <c r="J59" i="74"/>
  <c r="K252" i="66"/>
  <c r="J462" i="58"/>
  <c r="H18" i="74"/>
  <c r="O18" i="66"/>
  <c r="F171" i="18"/>
  <c r="J171" i="18"/>
  <c r="I446" i="41"/>
  <c r="J307" i="18"/>
  <c r="F307" i="18"/>
  <c r="Q144" i="66"/>
  <c r="X144" i="66"/>
  <c r="T144" i="66"/>
  <c r="K144" i="74"/>
  <c r="J300" i="18"/>
  <c r="F300" i="18"/>
  <c r="J442" i="37"/>
  <c r="H121" i="66"/>
  <c r="Q45" i="66"/>
  <c r="W45" i="66" s="1"/>
  <c r="X45" i="66"/>
  <c r="T45" i="66"/>
  <c r="K45" i="74"/>
  <c r="H80" i="74"/>
  <c r="O80" i="66"/>
  <c r="I53" i="18"/>
  <c r="H53" i="18"/>
  <c r="J258" i="18"/>
  <c r="F258" i="18"/>
  <c r="K80" i="74"/>
  <c r="X80" i="66"/>
  <c r="T80" i="66"/>
  <c r="Q80" i="66"/>
  <c r="H282" i="66"/>
  <c r="J444" i="58"/>
  <c r="J90" i="18"/>
  <c r="F90" i="18"/>
  <c r="H22" i="74"/>
  <c r="O22" i="66"/>
  <c r="H6" i="18"/>
  <c r="I6" i="18"/>
  <c r="H2" i="18"/>
  <c r="I2" i="18"/>
  <c r="K69" i="74"/>
  <c r="T69" i="66"/>
  <c r="X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X213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X240" i="66"/>
  <c r="T58" i="66"/>
  <c r="X58" i="66"/>
  <c r="Q58" i="66"/>
  <c r="K58" i="74"/>
  <c r="F297" i="18"/>
  <c r="J297" i="18"/>
  <c r="J181" i="18"/>
  <c r="F181" i="18"/>
  <c r="J254" i="18"/>
  <c r="F254" i="18"/>
  <c r="J302" i="18"/>
  <c r="F302" i="18"/>
  <c r="X10" i="66"/>
  <c r="Q10" i="66"/>
  <c r="W10" i="66" s="1"/>
  <c r="T10" i="66"/>
  <c r="K10" i="74"/>
  <c r="J88" i="18"/>
  <c r="F88" i="18"/>
  <c r="F308" i="18"/>
  <c r="J308" i="18"/>
  <c r="I48" i="18"/>
  <c r="H48" i="18"/>
  <c r="O236" i="66"/>
  <c r="F179" i="18"/>
  <c r="J179" i="18"/>
  <c r="T60" i="66"/>
  <c r="Q60" i="66"/>
  <c r="X60" i="66"/>
  <c r="K60" i="74"/>
  <c r="J140" i="18"/>
  <c r="F140" i="18"/>
  <c r="J446" i="58"/>
  <c r="H280" i="66"/>
  <c r="I3" i="18"/>
  <c r="H3" i="18"/>
  <c r="J134" i="18"/>
  <c r="F134" i="18"/>
  <c r="H11" i="74"/>
  <c r="O11" i="66"/>
  <c r="Q176" i="66"/>
  <c r="W176" i="66" s="1"/>
  <c r="J306" i="18"/>
  <c r="F306" i="18"/>
  <c r="K32" i="74"/>
  <c r="X32" i="66"/>
  <c r="T32" i="66"/>
  <c r="Q32" i="66"/>
  <c r="W32" i="66" s="1"/>
  <c r="H139" i="74"/>
  <c r="H115" i="74"/>
  <c r="N22" i="74"/>
  <c r="O145" i="66"/>
  <c r="H145" i="74"/>
  <c r="J16" i="74"/>
  <c r="O256" i="66"/>
  <c r="H142" i="74"/>
  <c r="O287" i="66"/>
  <c r="Q97" i="66"/>
  <c r="T97" i="66"/>
  <c r="X97" i="66"/>
  <c r="K97" i="74"/>
  <c r="H98" i="74"/>
  <c r="T120" i="66"/>
  <c r="Q120" i="66"/>
  <c r="W120" i="66" s="1"/>
  <c r="X120" i="66"/>
  <c r="S120" i="66"/>
  <c r="K120" i="74"/>
  <c r="L125" i="74"/>
  <c r="T16" i="66"/>
  <c r="X16" i="66"/>
  <c r="Q16" i="66"/>
  <c r="W16" i="66" s="1"/>
  <c r="S16" i="66"/>
  <c r="K16" i="74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X135" i="66"/>
  <c r="T135" i="66"/>
  <c r="Q135" i="66"/>
  <c r="W135" i="66" s="1"/>
  <c r="K135" i="74"/>
  <c r="X89" i="66"/>
  <c r="T89" i="66"/>
  <c r="K89" i="74"/>
  <c r="M139" i="74"/>
  <c r="M143" i="74"/>
  <c r="X129" i="66"/>
  <c r="T129" i="66"/>
  <c r="S129" i="66"/>
  <c r="Q129" i="66"/>
  <c r="W129" i="66" s="1"/>
  <c r="K129" i="74"/>
  <c r="J63" i="74"/>
  <c r="N85" i="74"/>
  <c r="X55" i="66"/>
  <c r="T55" i="66"/>
  <c r="U55" i="66" s="1"/>
  <c r="K55" i="74"/>
  <c r="S107" i="66"/>
  <c r="Q107" i="66"/>
  <c r="W107" i="66" s="1"/>
  <c r="T107" i="66"/>
  <c r="X107" i="66"/>
  <c r="K107" i="74"/>
  <c r="X50" i="66"/>
  <c r="T50" i="66"/>
  <c r="K50" i="74"/>
  <c r="T145" i="66"/>
  <c r="X145" i="66"/>
  <c r="Q145" i="66"/>
  <c r="K145" i="74"/>
  <c r="H129" i="74"/>
  <c r="Q287" i="66"/>
  <c r="W287" i="66" s="1"/>
  <c r="S287" i="66"/>
  <c r="X287" i="66"/>
  <c r="T287" i="66"/>
  <c r="O239" i="66"/>
  <c r="M42" i="74"/>
  <c r="T39" i="66"/>
  <c r="S39" i="66"/>
  <c r="Q39" i="66"/>
  <c r="W39" i="66" s="1"/>
  <c r="X39" i="66"/>
  <c r="K39" i="74"/>
  <c r="T245" i="66"/>
  <c r="S245" i="66"/>
  <c r="Q245" i="66"/>
  <c r="W245" i="66" s="1"/>
  <c r="X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W53" i="66" s="1"/>
  <c r="Y53" i="66" s="1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K33" i="74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X275" i="66"/>
  <c r="T275" i="66"/>
  <c r="S130" i="66"/>
  <c r="Q130" i="66"/>
  <c r="W130" i="66" s="1"/>
  <c r="X130" i="66"/>
  <c r="T130" i="66"/>
  <c r="K130" i="74"/>
  <c r="J61" i="74"/>
  <c r="N118" i="74"/>
  <c r="N23" i="74"/>
  <c r="H37" i="74"/>
  <c r="N8" i="74"/>
  <c r="S88" i="66"/>
  <c r="Q88" i="66"/>
  <c r="W88" i="66" s="1"/>
  <c r="X88" i="66"/>
  <c r="T88" i="66"/>
  <c r="K88" i="74"/>
  <c r="X18" i="66"/>
  <c r="T18" i="66"/>
  <c r="S18" i="66"/>
  <c r="Q18" i="66"/>
  <c r="W18" i="66" s="1"/>
  <c r="K18" i="74"/>
  <c r="O208" i="66"/>
  <c r="S87" i="66"/>
  <c r="Q87" i="66"/>
  <c r="W87" i="66" s="1"/>
  <c r="X87" i="66"/>
  <c r="T87" i="66"/>
  <c r="K87" i="74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X242" i="66"/>
  <c r="T242" i="66"/>
  <c r="H100" i="74"/>
  <c r="O100" i="66"/>
  <c r="M82" i="74"/>
  <c r="N93" i="74"/>
  <c r="H135" i="74"/>
  <c r="H137" i="74"/>
  <c r="S53" i="66"/>
  <c r="O235" i="66"/>
  <c r="H38" i="74"/>
  <c r="O38" i="66"/>
  <c r="T52" i="66"/>
  <c r="X52" i="66"/>
  <c r="S52" i="66"/>
  <c r="Q52" i="66"/>
  <c r="W52" i="66" s="1"/>
  <c r="K52" i="74"/>
  <c r="O244" i="66"/>
  <c r="H41" i="74"/>
  <c r="J25" i="74"/>
  <c r="H28" i="74"/>
  <c r="O28" i="66"/>
  <c r="T121" i="66"/>
  <c r="S121" i="66"/>
  <c r="Q121" i="66"/>
  <c r="W121" i="66" s="1"/>
  <c r="X121" i="66"/>
  <c r="K121" i="74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K47" i="74"/>
  <c r="M64" i="74"/>
  <c r="L79" i="74"/>
  <c r="N74" i="74"/>
  <c r="X98" i="66"/>
  <c r="T98" i="66"/>
  <c r="K98" i="74"/>
  <c r="Q14" i="66"/>
  <c r="W14" i="66" s="1"/>
  <c r="X14" i="66"/>
  <c r="T14" i="66"/>
  <c r="S14" i="66"/>
  <c r="K14" i="74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W169" i="66" s="1"/>
  <c r="X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S109" i="66"/>
  <c r="Q109" i="66"/>
  <c r="W109" i="66" s="1"/>
  <c r="X109" i="66"/>
  <c r="T109" i="66"/>
  <c r="K109" i="74"/>
  <c r="X194" i="66"/>
  <c r="T194" i="66"/>
  <c r="S111" i="66"/>
  <c r="X111" i="66"/>
  <c r="T111" i="66"/>
  <c r="Q111" i="66"/>
  <c r="W111" i="66" s="1"/>
  <c r="K111" i="74"/>
  <c r="H117" i="74"/>
  <c r="N16" i="74"/>
  <c r="M28" i="74"/>
  <c r="S28" i="66"/>
  <c r="T51" i="66"/>
  <c r="X51" i="66"/>
  <c r="S51" i="66"/>
  <c r="Q51" i="66"/>
  <c r="W51" i="66" s="1"/>
  <c r="K51" i="74"/>
  <c r="L87" i="74"/>
  <c r="S81" i="66"/>
  <c r="Q81" i="66"/>
  <c r="W81" i="66" s="1"/>
  <c r="X81" i="66"/>
  <c r="T81" i="66"/>
  <c r="K81" i="74"/>
  <c r="Q64" i="66"/>
  <c r="X64" i="66"/>
  <c r="T64" i="66"/>
  <c r="K64" i="74"/>
  <c r="L145" i="74"/>
  <c r="L127" i="74"/>
  <c r="M122" i="74"/>
  <c r="H104" i="74"/>
  <c r="Q280" i="66"/>
  <c r="W280" i="66" s="1"/>
  <c r="T280" i="66"/>
  <c r="S280" i="66"/>
  <c r="X280" i="66"/>
  <c r="X200" i="66"/>
  <c r="T200" i="66"/>
  <c r="S200" i="66"/>
  <c r="Q200" i="66"/>
  <c r="W200" i="66" s="1"/>
  <c r="J55" i="74"/>
  <c r="M138" i="74"/>
  <c r="T228" i="66"/>
  <c r="X228" i="66"/>
  <c r="J58" i="74"/>
  <c r="M23" i="74"/>
  <c r="S23" i="66"/>
  <c r="Q112" i="66"/>
  <c r="T112" i="66"/>
  <c r="X112" i="66"/>
  <c r="K112" i="74"/>
  <c r="J142" i="74"/>
  <c r="S197" i="66"/>
  <c r="Q197" i="66"/>
  <c r="W197" i="66" s="1"/>
  <c r="X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W73" i="66" s="1"/>
  <c r="T73" i="66"/>
  <c r="X73" i="66"/>
  <c r="K73" i="74"/>
  <c r="M58" i="74"/>
  <c r="N57" i="74"/>
  <c r="X232" i="66"/>
  <c r="T232" i="66"/>
  <c r="S232" i="66"/>
  <c r="Q232" i="66"/>
  <c r="W232" i="66" s="1"/>
  <c r="J145" i="74"/>
  <c r="T36" i="66"/>
  <c r="X36" i="66"/>
  <c r="K36" i="74"/>
  <c r="M26" i="74"/>
  <c r="Q91" i="66"/>
  <c r="W91" i="66" s="1"/>
  <c r="X91" i="66"/>
  <c r="T91" i="66"/>
  <c r="S91" i="66"/>
  <c r="K91" i="74"/>
  <c r="S104" i="66"/>
  <c r="X104" i="66"/>
  <c r="T104" i="66"/>
  <c r="Q104" i="66"/>
  <c r="W104" i="66" s="1"/>
  <c r="K104" i="74"/>
  <c r="X125" i="66"/>
  <c r="T125" i="66"/>
  <c r="Q125" i="66"/>
  <c r="W125" i="66" s="1"/>
  <c r="S125" i="66"/>
  <c r="K125" i="74"/>
  <c r="T41" i="66"/>
  <c r="X41" i="66"/>
  <c r="K41" i="74"/>
  <c r="M120" i="74"/>
  <c r="N92" i="74"/>
  <c r="N121" i="74"/>
  <c r="J116" i="74"/>
  <c r="H72" i="74"/>
  <c r="H21" i="74"/>
  <c r="H131" i="74"/>
  <c r="J125" i="74"/>
  <c r="L50" i="74"/>
  <c r="N80" i="74"/>
  <c r="J32" i="74"/>
  <c r="X208" i="66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K43" i="74"/>
  <c r="T244" i="66"/>
  <c r="Q244" i="66"/>
  <c r="W244" i="66" s="1"/>
  <c r="X244" i="66"/>
  <c r="S244" i="66"/>
  <c r="Q95" i="66"/>
  <c r="W95" i="66" s="1"/>
  <c r="S95" i="66"/>
  <c r="X95" i="66"/>
  <c r="T95" i="66"/>
  <c r="K95" i="74"/>
  <c r="Q63" i="66"/>
  <c r="W63" i="66" s="1"/>
  <c r="X63" i="66"/>
  <c r="T63" i="66"/>
  <c r="S63" i="66"/>
  <c r="K63" i="74"/>
  <c r="S147" i="66"/>
  <c r="X147" i="66"/>
  <c r="T147" i="66"/>
  <c r="Q147" i="66"/>
  <c r="W147" i="66" s="1"/>
  <c r="K147" i="74"/>
  <c r="T7" i="66"/>
  <c r="U7" i="66" s="1"/>
  <c r="X7" i="66"/>
  <c r="K7" i="74"/>
  <c r="X256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M106" i="74"/>
  <c r="H45" i="74"/>
  <c r="O45" i="66"/>
  <c r="H83" i="74"/>
  <c r="S114" i="66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L135" i="74"/>
  <c r="J124" i="74"/>
  <c r="X131" i="66"/>
  <c r="T131" i="66"/>
  <c r="K131" i="74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K34" i="74"/>
  <c r="H119" i="74"/>
  <c r="T29" i="66"/>
  <c r="Q29" i="66"/>
  <c r="W29" i="66" s="1"/>
  <c r="X29" i="66"/>
  <c r="S29" i="66"/>
  <c r="K29" i="74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K8" i="74"/>
  <c r="S157" i="66"/>
  <c r="U157" i="66" s="1"/>
  <c r="J126" i="74"/>
  <c r="T11" i="66"/>
  <c r="Q11" i="66"/>
  <c r="W11" i="66" s="1"/>
  <c r="X11" i="66"/>
  <c r="S11" i="66"/>
  <c r="K11" i="74"/>
  <c r="S134" i="66"/>
  <c r="Q134" i="66"/>
  <c r="W134" i="66" s="1"/>
  <c r="X134" i="66"/>
  <c r="T134" i="66"/>
  <c r="K134" i="74"/>
  <c r="S24" i="66"/>
  <c r="T24" i="66"/>
  <c r="Q24" i="66"/>
  <c r="W24" i="66" s="1"/>
  <c r="X24" i="66"/>
  <c r="K24" i="74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H99" i="74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J64" i="74"/>
  <c r="N106" i="74"/>
  <c r="S49" i="66"/>
  <c r="T49" i="66"/>
  <c r="Q49" i="66"/>
  <c r="W49" i="66" s="1"/>
  <c r="X49" i="66"/>
  <c r="K49" i="74"/>
  <c r="J119" i="74"/>
  <c r="L140" i="74"/>
  <c r="X35" i="66"/>
  <c r="T35" i="66"/>
  <c r="K35" i="74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K27" i="74"/>
  <c r="X233" i="66"/>
  <c r="T233" i="66"/>
  <c r="J128" i="74"/>
  <c r="J7" i="74"/>
  <c r="O172" i="66"/>
  <c r="S15" i="66"/>
  <c r="X15" i="66"/>
  <c r="T15" i="66"/>
  <c r="Q15" i="66"/>
  <c r="W15" i="66" s="1"/>
  <c r="K15" i="74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X149" i="66"/>
  <c r="Q149" i="66"/>
  <c r="W149" i="66" s="1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W279" i="66" s="1"/>
  <c r="X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K38" i="74"/>
  <c r="J106" i="74"/>
  <c r="L92" i="74"/>
  <c r="Q19" i="66"/>
  <c r="W19" i="66" s="1"/>
  <c r="T19" i="66"/>
  <c r="S19" i="66"/>
  <c r="X19" i="66"/>
  <c r="K19" i="74"/>
  <c r="X146" i="66"/>
  <c r="T146" i="66"/>
  <c r="K146" i="74"/>
  <c r="O193" i="66"/>
  <c r="O16" i="66"/>
  <c r="H16" i="74"/>
  <c r="K99" i="74"/>
  <c r="J35" i="74"/>
  <c r="M45" i="74"/>
  <c r="S45" i="66"/>
  <c r="T183" i="66"/>
  <c r="S183" i="66"/>
  <c r="Q183" i="66"/>
  <c r="W183" i="66" s="1"/>
  <c r="X183" i="66"/>
  <c r="N67" i="74"/>
  <c r="X181" i="66"/>
  <c r="T181" i="66"/>
  <c r="Q110" i="66"/>
  <c r="W110" i="66" s="1"/>
  <c r="X110" i="66"/>
  <c r="S110" i="66"/>
  <c r="T110" i="66"/>
  <c r="K110" i="74"/>
  <c r="X143" i="66"/>
  <c r="T143" i="66"/>
  <c r="S143" i="66"/>
  <c r="Q143" i="66"/>
  <c r="W143" i="66" s="1"/>
  <c r="K143" i="74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H69" i="74"/>
  <c r="S86" i="66"/>
  <c r="X86" i="66"/>
  <c r="T86" i="66"/>
  <c r="Q86" i="66"/>
  <c r="W86" i="66" s="1"/>
  <c r="K86" i="74"/>
  <c r="X290" i="66"/>
  <c r="T290" i="66"/>
  <c r="X258" i="66"/>
  <c r="T258" i="66"/>
  <c r="S258" i="66"/>
  <c r="Q258" i="66"/>
  <c r="W258" i="66" s="1"/>
  <c r="N125" i="74"/>
  <c r="T101" i="66"/>
  <c r="X101" i="66"/>
  <c r="S101" i="66"/>
  <c r="Q101" i="66"/>
  <c r="W101" i="66" s="1"/>
  <c r="K101" i="74"/>
  <c r="S92" i="66"/>
  <c r="T92" i="66"/>
  <c r="Q92" i="66"/>
  <c r="W92" i="66" s="1"/>
  <c r="X92" i="66"/>
  <c r="K92" i="74"/>
  <c r="S118" i="66"/>
  <c r="Q118" i="66"/>
  <c r="W118" i="66" s="1"/>
  <c r="X118" i="66"/>
  <c r="T118" i="66"/>
  <c r="K118" i="74"/>
  <c r="H34" i="74"/>
  <c r="Q25" i="66"/>
  <c r="W25" i="66" s="1"/>
  <c r="X25" i="66"/>
  <c r="T25" i="66"/>
  <c r="S25" i="66"/>
  <c r="K25" i="74"/>
  <c r="O189" i="66"/>
  <c r="J44" i="74"/>
  <c r="J133" i="74"/>
  <c r="X277" i="66"/>
  <c r="T277" i="66"/>
  <c r="H108" i="74"/>
  <c r="O205" i="66"/>
  <c r="H76" i="74"/>
  <c r="O76" i="66"/>
  <c r="F13" i="39"/>
  <c r="S160" i="66"/>
  <c r="T160" i="66"/>
  <c r="Q160" i="66"/>
  <c r="W160" i="66" s="1"/>
  <c r="X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K44" i="74"/>
  <c r="T85" i="66"/>
  <c r="X85" i="66"/>
  <c r="K85" i="74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X188" i="66"/>
  <c r="T188" i="66"/>
  <c r="S188" i="66"/>
  <c r="Q188" i="66"/>
  <c r="W188" i="66" s="1"/>
  <c r="N104" i="74"/>
  <c r="S22" i="66"/>
  <c r="X22" i="66"/>
  <c r="T22" i="66"/>
  <c r="Q22" i="66"/>
  <c r="W22" i="66" s="1"/>
  <c r="K22" i="74"/>
  <c r="H120" i="74"/>
  <c r="J122" i="74"/>
  <c r="S62" i="66"/>
  <c r="X62" i="66"/>
  <c r="T62" i="66"/>
  <c r="Q62" i="66"/>
  <c r="W62" i="66" s="1"/>
  <c r="K62" i="74"/>
  <c r="H94" i="74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W136" i="66" s="1"/>
  <c r="T136" i="66"/>
  <c r="X136" i="66"/>
  <c r="S136" i="66"/>
  <c r="K136" i="74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N50" i="74"/>
  <c r="M31" i="74"/>
  <c r="L68" i="74"/>
  <c r="N143" i="74"/>
  <c r="X184" i="66"/>
  <c r="T184" i="66"/>
  <c r="S184" i="66"/>
  <c r="Q184" i="66"/>
  <c r="W184" i="66" s="1"/>
  <c r="X83" i="66"/>
  <c r="T83" i="66"/>
  <c r="K83" i="74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X40" i="66"/>
  <c r="S40" i="66"/>
  <c r="Q40" i="66"/>
  <c r="W40" i="66" s="1"/>
  <c r="T40" i="66"/>
  <c r="K40" i="74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J147" i="74"/>
  <c r="J45" i="74"/>
  <c r="X5" i="66"/>
  <c r="Q5" i="66"/>
  <c r="W5" i="66" s="1"/>
  <c r="T5" i="66"/>
  <c r="S5" i="66"/>
  <c r="K5" i="74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S236" i="66"/>
  <c r="X236" i="66"/>
  <c r="T236" i="66"/>
  <c r="Q236" i="66"/>
  <c r="W236" i="66" s="1"/>
  <c r="M119" i="74"/>
  <c r="O160" i="66"/>
  <c r="T179" i="66"/>
  <c r="X179" i="66"/>
  <c r="O167" i="66"/>
  <c r="X227" i="66"/>
  <c r="T227" i="66"/>
  <c r="L116" i="74"/>
  <c r="O289" i="66"/>
  <c r="M8" i="74"/>
  <c r="Q67" i="66"/>
  <c r="W67" i="66" s="1"/>
  <c r="X67" i="66"/>
  <c r="T67" i="66"/>
  <c r="S67" i="66"/>
  <c r="K67" i="74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X217" i="66"/>
  <c r="S217" i="66"/>
  <c r="T217" i="66"/>
  <c r="Q217" i="66"/>
  <c r="W217" i="66" s="1"/>
  <c r="X137" i="66"/>
  <c r="T137" i="66"/>
  <c r="K137" i="74"/>
  <c r="K132" i="74"/>
  <c r="J118" i="74"/>
  <c r="Q56" i="66"/>
  <c r="W56" i="66" s="1"/>
  <c r="X56" i="66"/>
  <c r="T56" i="66"/>
  <c r="S56" i="66"/>
  <c r="K56" i="74"/>
  <c r="S59" i="66"/>
  <c r="Q59" i="66"/>
  <c r="W59" i="66" s="1"/>
  <c r="T59" i="66"/>
  <c r="X59" i="66"/>
  <c r="K59" i="74"/>
  <c r="M71" i="74"/>
  <c r="H52" i="74"/>
  <c r="O52" i="66"/>
  <c r="J90" i="74"/>
  <c r="M10" i="74"/>
  <c r="S10" i="66"/>
  <c r="N103" i="74"/>
  <c r="T31" i="66"/>
  <c r="X31" i="66"/>
  <c r="S31" i="66"/>
  <c r="Q31" i="66"/>
  <c r="W31" i="66" s="1"/>
  <c r="K31" i="74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K13" i="74"/>
  <c r="J28" i="74"/>
  <c r="S265" i="66"/>
  <c r="Q265" i="66"/>
  <c r="W265" i="66" s="1"/>
  <c r="X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L109" i="74"/>
  <c r="H54" i="74"/>
  <c r="S171" i="66"/>
  <c r="X171" i="66"/>
  <c r="T171" i="66"/>
  <c r="Q171" i="66"/>
  <c r="W171" i="66" s="1"/>
  <c r="J62" i="74"/>
  <c r="T84" i="66"/>
  <c r="X84" i="66"/>
  <c r="K84" i="74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T37" i="74" l="1"/>
  <c r="X53" i="74"/>
  <c r="Y4" i="66"/>
  <c r="AA61" i="66"/>
  <c r="U172" i="66"/>
  <c r="U82" i="66"/>
  <c r="P202" i="66"/>
  <c r="W202" i="66" s="1"/>
  <c r="Y202" i="66" s="1"/>
  <c r="U192" i="66"/>
  <c r="G28" i="39"/>
  <c r="U12" i="66"/>
  <c r="H116" i="74"/>
  <c r="O284" i="66"/>
  <c r="P156" i="66"/>
  <c r="V156" i="66" s="1"/>
  <c r="U189" i="66"/>
  <c r="O51" i="66"/>
  <c r="T53" i="74"/>
  <c r="G139" i="74"/>
  <c r="Q76" i="74"/>
  <c r="Q53" i="74"/>
  <c r="W53" i="74" s="1"/>
  <c r="U48" i="66"/>
  <c r="S10" i="74"/>
  <c r="Y176" i="66"/>
  <c r="U167" i="66"/>
  <c r="U4" i="66"/>
  <c r="Y157" i="66"/>
  <c r="U99" i="66"/>
  <c r="U53" i="66"/>
  <c r="U114" i="66"/>
  <c r="S23" i="74"/>
  <c r="AC3" i="39"/>
  <c r="Q114" i="74"/>
  <c r="W114" i="74" s="1"/>
  <c r="Y114" i="74" s="1"/>
  <c r="T114" i="74"/>
  <c r="U156" i="66"/>
  <c r="L124" i="74"/>
  <c r="AC124" i="74" s="1"/>
  <c r="G27" i="39"/>
  <c r="X76" i="74"/>
  <c r="T76" i="74"/>
  <c r="J454" i="41"/>
  <c r="X4" i="74"/>
  <c r="Q4" i="74"/>
  <c r="W4" i="74" s="1"/>
  <c r="S4" i="74"/>
  <c r="U4" i="74" s="1"/>
  <c r="U23" i="66"/>
  <c r="U154" i="66"/>
  <c r="U10" i="66"/>
  <c r="O143" i="66"/>
  <c r="AA287" i="66" s="1"/>
  <c r="G141" i="74"/>
  <c r="Y9" i="66"/>
  <c r="AA46" i="66"/>
  <c r="S48" i="74"/>
  <c r="S114" i="74"/>
  <c r="S32" i="74"/>
  <c r="O108" i="66"/>
  <c r="H140" i="74"/>
  <c r="O127" i="66"/>
  <c r="AA127" i="66" s="1"/>
  <c r="P190" i="66"/>
  <c r="V190" i="66" s="1"/>
  <c r="P46" i="66"/>
  <c r="R46" i="66" s="1"/>
  <c r="Z190" i="66"/>
  <c r="S28" i="74"/>
  <c r="AA190" i="66"/>
  <c r="Z46" i="66"/>
  <c r="K215" i="66"/>
  <c r="O215" i="66" s="1"/>
  <c r="O129" i="66"/>
  <c r="Z129" i="66" s="1"/>
  <c r="J446" i="41"/>
  <c r="S46" i="74"/>
  <c r="P240" i="66"/>
  <c r="V240" i="66" s="1"/>
  <c r="U253" i="66"/>
  <c r="O109" i="66"/>
  <c r="AA109" i="66" s="1"/>
  <c r="G14" i="39"/>
  <c r="Y12" i="66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K141" i="66"/>
  <c r="J460" i="41"/>
  <c r="K285" i="66"/>
  <c r="J473" i="58"/>
  <c r="P224" i="66"/>
  <c r="R224" i="66" s="1"/>
  <c r="S224" i="66" s="1"/>
  <c r="U224" i="66" s="1"/>
  <c r="U230" i="66"/>
  <c r="U63" i="66"/>
  <c r="Y10" i="66"/>
  <c r="P268" i="66"/>
  <c r="V268" i="66" s="1"/>
  <c r="U203" i="66"/>
  <c r="S45" i="74"/>
  <c r="Y159" i="66"/>
  <c r="G16" i="39"/>
  <c r="S12" i="74"/>
  <c r="F12" i="39"/>
  <c r="U46" i="66"/>
  <c r="M46" i="39"/>
  <c r="E176" i="38" s="1"/>
  <c r="K263" i="66" s="1"/>
  <c r="O263" i="66" s="1"/>
  <c r="P193" i="66"/>
  <c r="R193" i="66" s="1"/>
  <c r="P160" i="66"/>
  <c r="V160" i="66" s="1"/>
  <c r="U45" i="66"/>
  <c r="P289" i="66"/>
  <c r="V289" i="66" s="1"/>
  <c r="U190" i="66"/>
  <c r="O106" i="66"/>
  <c r="P250" i="66" s="1"/>
  <c r="Y274" i="66"/>
  <c r="U34" i="66"/>
  <c r="U92" i="66"/>
  <c r="U14" i="66"/>
  <c r="U70" i="66"/>
  <c r="J440" i="41"/>
  <c r="U191" i="66"/>
  <c r="Y232" i="66"/>
  <c r="P176" i="66"/>
  <c r="R176" i="66" s="1"/>
  <c r="P237" i="66"/>
  <c r="V237" i="66" s="1"/>
  <c r="U149" i="66"/>
  <c r="U273" i="66"/>
  <c r="Y171" i="66"/>
  <c r="U155" i="66"/>
  <c r="Y173" i="66"/>
  <c r="U243" i="66"/>
  <c r="Y27" i="66"/>
  <c r="Y154" i="66"/>
  <c r="U236" i="66"/>
  <c r="U206" i="66"/>
  <c r="Y101" i="66"/>
  <c r="U44" i="66"/>
  <c r="P154" i="66"/>
  <c r="V154" i="66" s="1"/>
  <c r="Y52" i="66"/>
  <c r="Y188" i="66"/>
  <c r="J443" i="41"/>
  <c r="U183" i="66"/>
  <c r="Y15" i="66"/>
  <c r="Y25" i="66"/>
  <c r="U110" i="66"/>
  <c r="U40" i="66"/>
  <c r="Y182" i="66"/>
  <c r="Y39" i="66"/>
  <c r="U158" i="66"/>
  <c r="Y8" i="66"/>
  <c r="U52" i="66"/>
  <c r="U193" i="66"/>
  <c r="Y258" i="66"/>
  <c r="Y143" i="66"/>
  <c r="Y38" i="66"/>
  <c r="Y87" i="66"/>
  <c r="Y190" i="66"/>
  <c r="U118" i="66"/>
  <c r="Y280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Y40" i="66"/>
  <c r="U43" i="66"/>
  <c r="Y47" i="66"/>
  <c r="U283" i="66"/>
  <c r="Y23" i="66"/>
  <c r="Y206" i="66"/>
  <c r="U223" i="66"/>
  <c r="U39" i="66"/>
  <c r="U123" i="66"/>
  <c r="J444" i="41"/>
  <c r="U177" i="66"/>
  <c r="Y217" i="66"/>
  <c r="U136" i="66"/>
  <c r="U95" i="66"/>
  <c r="U130" i="66"/>
  <c r="U255" i="66"/>
  <c r="U59" i="66"/>
  <c r="U284" i="66"/>
  <c r="U140" i="66"/>
  <c r="U232" i="66"/>
  <c r="Y75" i="66"/>
  <c r="U121" i="66"/>
  <c r="U231" i="66"/>
  <c r="Y167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Y189" i="66"/>
  <c r="X28" i="74"/>
  <c r="T28" i="74"/>
  <c r="Q28" i="74"/>
  <c r="W28" i="74" s="1"/>
  <c r="F4" i="18"/>
  <c r="J4" i="18"/>
  <c r="Y172" i="66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K142" i="66"/>
  <c r="J459" i="37"/>
  <c r="T48" i="74"/>
  <c r="Q48" i="74"/>
  <c r="W48" i="74" s="1"/>
  <c r="X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K71" i="66"/>
  <c r="I467" i="37"/>
  <c r="I467" i="41" s="1"/>
  <c r="F47" i="18"/>
  <c r="J47" i="18"/>
  <c r="T96" i="74"/>
  <c r="Q96" i="74"/>
  <c r="X96" i="74"/>
  <c r="J10" i="18"/>
  <c r="F10" i="18"/>
  <c r="H118" i="74"/>
  <c r="O118" i="66"/>
  <c r="F5" i="18"/>
  <c r="J5" i="18"/>
  <c r="AC44" i="74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W45" i="74" s="1"/>
  <c r="X45" i="74"/>
  <c r="Y28" i="66"/>
  <c r="U262" i="66"/>
  <c r="Y48" i="66"/>
  <c r="X128" i="74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O80" i="74"/>
  <c r="U61" i="66"/>
  <c r="Y219" i="66"/>
  <c r="U139" i="66"/>
  <c r="U274" i="66"/>
  <c r="Y207" i="66"/>
  <c r="U18" i="66"/>
  <c r="U210" i="66"/>
  <c r="O22" i="74"/>
  <c r="AC22" i="74"/>
  <c r="T80" i="74"/>
  <c r="Q80" i="74"/>
  <c r="X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O155" i="66"/>
  <c r="Z11" i="66" s="1"/>
  <c r="G11" i="74"/>
  <c r="Y61" i="66"/>
  <c r="U79" i="66"/>
  <c r="Y163" i="66"/>
  <c r="Y160" i="66"/>
  <c r="Y284" i="66"/>
  <c r="U244" i="66"/>
  <c r="U73" i="66"/>
  <c r="Y245" i="66"/>
  <c r="U53" i="74"/>
  <c r="Y32" i="66"/>
  <c r="X69" i="74"/>
  <c r="T69" i="74"/>
  <c r="Y45" i="66"/>
  <c r="X252" i="66"/>
  <c r="T252" i="66"/>
  <c r="Q252" i="66"/>
  <c r="T238" i="66"/>
  <c r="X238" i="66"/>
  <c r="Q238" i="66"/>
  <c r="H485" i="58"/>
  <c r="M165" i="66"/>
  <c r="C19" i="8"/>
  <c r="N69" i="66"/>
  <c r="Q106" i="66"/>
  <c r="X106" i="66"/>
  <c r="T106" i="66"/>
  <c r="K106" i="74"/>
  <c r="X250" i="66"/>
  <c r="T250" i="66"/>
  <c r="Q250" i="66"/>
  <c r="O77" i="74"/>
  <c r="AC77" i="74"/>
  <c r="Q144" i="74"/>
  <c r="T144" i="74"/>
  <c r="X144" i="74"/>
  <c r="T60" i="74"/>
  <c r="X60" i="74"/>
  <c r="Q60" i="74"/>
  <c r="X10" i="74"/>
  <c r="Q10" i="74"/>
  <c r="W10" i="74" s="1"/>
  <c r="T10" i="74"/>
  <c r="I38" i="35" a="1"/>
  <c r="I38" i="35" s="1"/>
  <c r="C29" i="39"/>
  <c r="C30" i="39" s="1"/>
  <c r="C32" i="39"/>
  <c r="C33" i="39" s="1"/>
  <c r="P17" i="39"/>
  <c r="J56" i="18"/>
  <c r="F56" i="18"/>
  <c r="X21" i="74"/>
  <c r="T21" i="74"/>
  <c r="J54" i="18"/>
  <c r="F54" i="18"/>
  <c r="F55" i="18"/>
  <c r="J55" i="18"/>
  <c r="T46" i="74"/>
  <c r="Q46" i="74"/>
  <c r="W46" i="74" s="1"/>
  <c r="X46" i="74"/>
  <c r="AA173" i="66"/>
  <c r="Z29" i="66"/>
  <c r="AA29" i="66"/>
  <c r="Z173" i="66"/>
  <c r="F9" i="18"/>
  <c r="J9" i="18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AA236" i="66"/>
  <c r="Z236" i="66"/>
  <c r="Z92" i="66"/>
  <c r="AA92" i="66"/>
  <c r="E144" i="38"/>
  <c r="J2" i="18"/>
  <c r="F2" i="18"/>
  <c r="T94" i="66"/>
  <c r="Q94" i="66"/>
  <c r="X94" i="66"/>
  <c r="K94" i="74"/>
  <c r="AC94" i="74" s="1"/>
  <c r="O29" i="74"/>
  <c r="AC29" i="74"/>
  <c r="J7" i="18"/>
  <c r="F7" i="18"/>
  <c r="Y192" i="66"/>
  <c r="X117" i="74"/>
  <c r="T117" i="74"/>
  <c r="J12" i="18"/>
  <c r="F12" i="18"/>
  <c r="Q23" i="74"/>
  <c r="W23" i="74" s="1"/>
  <c r="X23" i="74"/>
  <c r="T23" i="74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Y156" i="66"/>
  <c r="J44" i="18"/>
  <c r="F44" i="18"/>
  <c r="Y197" i="66"/>
  <c r="Y287" i="66"/>
  <c r="X32" i="74"/>
  <c r="T32" i="74"/>
  <c r="Q32" i="74"/>
  <c r="W32" i="74" s="1"/>
  <c r="Q58" i="74"/>
  <c r="X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O92" i="74"/>
  <c r="O144" i="66"/>
  <c r="H144" i="74"/>
  <c r="J442" i="41"/>
  <c r="D70" i="72" a="1"/>
  <c r="D70" i="72" s="1"/>
  <c r="D71" i="72" s="1" a="1"/>
  <c r="D71" i="72" s="1"/>
  <c r="C20" i="63"/>
  <c r="I459" i="41"/>
  <c r="Y46" i="66"/>
  <c r="O252" i="66"/>
  <c r="T93" i="74"/>
  <c r="Q93" i="74"/>
  <c r="X93" i="74"/>
  <c r="AC48" i="74"/>
  <c r="O48" i="74"/>
  <c r="J453" i="41"/>
  <c r="O162" i="66"/>
  <c r="Z18" i="66" s="1"/>
  <c r="G18" i="74"/>
  <c r="U166" i="66"/>
  <c r="U225" i="66"/>
  <c r="AC10" i="74"/>
  <c r="U49" i="66"/>
  <c r="U125" i="66"/>
  <c r="U51" i="66"/>
  <c r="U66" i="66"/>
  <c r="Y214" i="66"/>
  <c r="Y88" i="66"/>
  <c r="U129" i="66"/>
  <c r="F3" i="18"/>
  <c r="J3" i="18"/>
  <c r="AC70" i="74"/>
  <c r="O70" i="74"/>
  <c r="H138" i="74"/>
  <c r="J6" i="18"/>
  <c r="F6" i="18"/>
  <c r="H121" i="74"/>
  <c r="J14" i="18"/>
  <c r="F14" i="18"/>
  <c r="J462" i="41"/>
  <c r="I458" i="41"/>
  <c r="G140" i="74"/>
  <c r="O140" i="66"/>
  <c r="E40" i="22"/>
  <c r="Q8" i="9"/>
  <c r="V8" i="9" s="1"/>
  <c r="Y175" i="66"/>
  <c r="Y259" i="66"/>
  <c r="Y184" i="66"/>
  <c r="U251" i="66"/>
  <c r="Y44" i="66"/>
  <c r="O10" i="74"/>
  <c r="Z10" i="74" s="1"/>
  <c r="U25" i="66"/>
  <c r="Y183" i="66"/>
  <c r="Y43" i="66"/>
  <c r="U216" i="66"/>
  <c r="U88" i="66"/>
  <c r="U135" i="66"/>
  <c r="U120" i="66"/>
  <c r="F53" i="18"/>
  <c r="J53" i="18"/>
  <c r="Q108" i="66"/>
  <c r="X108" i="66"/>
  <c r="T108" i="66"/>
  <c r="K108" i="74"/>
  <c r="AC108" i="74" s="1"/>
  <c r="C9" i="63"/>
  <c r="K286" i="66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X12" i="74"/>
  <c r="Q12" i="74"/>
  <c r="W12" i="74" s="1"/>
  <c r="J445" i="41"/>
  <c r="O96" i="74"/>
  <c r="AC96" i="74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X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X50" i="74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X131" i="74"/>
  <c r="T131" i="74"/>
  <c r="S109" i="74"/>
  <c r="Q109" i="74"/>
  <c r="W109" i="74" s="1"/>
  <c r="X109" i="74"/>
  <c r="T109" i="74"/>
  <c r="AC12" i="74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O81" i="74"/>
  <c r="Q77" i="74"/>
  <c r="W77" i="74" s="1"/>
  <c r="X77" i="74"/>
  <c r="T77" i="74"/>
  <c r="S77" i="74"/>
  <c r="U248" i="66"/>
  <c r="Y125" i="66"/>
  <c r="Y155" i="66"/>
  <c r="Y81" i="66"/>
  <c r="Y169" i="66"/>
  <c r="U214" i="66"/>
  <c r="X98" i="74"/>
  <c r="T98" i="74"/>
  <c r="T18" i="74"/>
  <c r="X18" i="74"/>
  <c r="S18" i="74"/>
  <c r="Q18" i="74"/>
  <c r="W18" i="74" s="1"/>
  <c r="U168" i="66"/>
  <c r="T16" i="74"/>
  <c r="X16" i="74"/>
  <c r="S16" i="74"/>
  <c r="Q16" i="74"/>
  <c r="W16" i="74" s="1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X136" i="74"/>
  <c r="S136" i="74"/>
  <c r="Q136" i="74"/>
  <c r="W136" i="74" s="1"/>
  <c r="Z13" i="66"/>
  <c r="AA13" i="66"/>
  <c r="AA157" i="66"/>
  <c r="Z157" i="66"/>
  <c r="AC91" i="74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X121" i="74"/>
  <c r="Q121" i="74"/>
  <c r="W121" i="74" s="1"/>
  <c r="T52" i="74"/>
  <c r="S52" i="74"/>
  <c r="X52" i="74"/>
  <c r="Q52" i="74"/>
  <c r="W52" i="74" s="1"/>
  <c r="Y255" i="66"/>
  <c r="T39" i="74"/>
  <c r="Q39" i="74"/>
  <c r="W39" i="74" s="1"/>
  <c r="S39" i="74"/>
  <c r="X39" i="74"/>
  <c r="U287" i="66"/>
  <c r="S107" i="74"/>
  <c r="Q107" i="74"/>
  <c r="W107" i="74" s="1"/>
  <c r="X107" i="74"/>
  <c r="T107" i="74"/>
  <c r="O49" i="74"/>
  <c r="AC49" i="74"/>
  <c r="Z79" i="66"/>
  <c r="AA223" i="66"/>
  <c r="Z223" i="66"/>
  <c r="AA79" i="66"/>
  <c r="O95" i="74"/>
  <c r="AC95" i="74"/>
  <c r="O60" i="74"/>
  <c r="AC60" i="74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AG4" i="74" s="1"/>
  <c r="I22" i="77" s="1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O79" i="74"/>
  <c r="Y16" i="66"/>
  <c r="O145" i="74"/>
  <c r="AC145" i="74"/>
  <c r="Y265" i="66"/>
  <c r="AA47" i="66"/>
  <c r="AA191" i="66"/>
  <c r="Z191" i="66"/>
  <c r="Z47" i="66"/>
  <c r="Y115" i="66"/>
  <c r="S5" i="74"/>
  <c r="X5" i="74"/>
  <c r="T5" i="74"/>
  <c r="Q5" i="74"/>
  <c r="W5" i="74" s="1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X64" i="74"/>
  <c r="T64" i="74"/>
  <c r="Q64" i="74"/>
  <c r="T51" i="74"/>
  <c r="Q51" i="74"/>
  <c r="W51" i="74" s="1"/>
  <c r="X51" i="74"/>
  <c r="S51" i="74"/>
  <c r="Z278" i="66"/>
  <c r="AA278" i="66"/>
  <c r="Z134" i="66"/>
  <c r="AA134" i="66"/>
  <c r="Y121" i="66"/>
  <c r="Y205" i="66"/>
  <c r="X97" i="74"/>
  <c r="T97" i="74"/>
  <c r="Q97" i="74"/>
  <c r="AA145" i="66"/>
  <c r="Z289" i="66"/>
  <c r="Z145" i="66"/>
  <c r="AA289" i="66"/>
  <c r="P145" i="66"/>
  <c r="AC127" i="74"/>
  <c r="O127" i="74"/>
  <c r="AC23" i="74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Y158" i="66"/>
  <c r="O97" i="74"/>
  <c r="AC97" i="74"/>
  <c r="T83" i="74"/>
  <c r="X83" i="74"/>
  <c r="AA31" i="66"/>
  <c r="Z31" i="66"/>
  <c r="AA175" i="66"/>
  <c r="Z175" i="66"/>
  <c r="AC76" i="74"/>
  <c r="O76" i="74"/>
  <c r="Q25" i="74"/>
  <c r="W25" i="74" s="1"/>
  <c r="X25" i="74"/>
  <c r="T25" i="74"/>
  <c r="S25" i="74"/>
  <c r="T92" i="74"/>
  <c r="S92" i="74"/>
  <c r="X92" i="74"/>
  <c r="Q92" i="74"/>
  <c r="W92" i="74" s="1"/>
  <c r="U258" i="66"/>
  <c r="U86" i="66"/>
  <c r="Y72" i="66"/>
  <c r="X146" i="74"/>
  <c r="T146" i="74"/>
  <c r="Y162" i="66"/>
  <c r="U219" i="66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X112" i="74"/>
  <c r="Q66" i="74"/>
  <c r="W66" i="74" s="1"/>
  <c r="X66" i="74"/>
  <c r="S66" i="74"/>
  <c r="T66" i="74"/>
  <c r="O134" i="74"/>
  <c r="AC134" i="74"/>
  <c r="O46" i="74"/>
  <c r="AC46" i="74"/>
  <c r="O129" i="74"/>
  <c r="AC129" i="74"/>
  <c r="P238" i="66"/>
  <c r="T129" i="74"/>
  <c r="S129" i="74"/>
  <c r="Q129" i="74"/>
  <c r="W129" i="74" s="1"/>
  <c r="X129" i="74"/>
  <c r="X135" i="74"/>
  <c r="S135" i="74"/>
  <c r="T135" i="74"/>
  <c r="Q135" i="74"/>
  <c r="W135" i="74" s="1"/>
  <c r="Y191" i="66"/>
  <c r="Y203" i="66"/>
  <c r="T137" i="74"/>
  <c r="X137" i="74"/>
  <c r="U115" i="66"/>
  <c r="Y136" i="66"/>
  <c r="O31" i="74"/>
  <c r="AC31" i="74"/>
  <c r="O64" i="74"/>
  <c r="AC64" i="74"/>
  <c r="T49" i="74"/>
  <c r="S49" i="74"/>
  <c r="X49" i="74"/>
  <c r="Q49" i="74"/>
  <c r="W49" i="74" s="1"/>
  <c r="AC86" i="74"/>
  <c r="O86" i="74"/>
  <c r="X41" i="74"/>
  <c r="T41" i="74"/>
  <c r="S73" i="74"/>
  <c r="X73" i="74"/>
  <c r="T73" i="74"/>
  <c r="Q73" i="74"/>
  <c r="W73" i="74" s="1"/>
  <c r="U195" i="66"/>
  <c r="U75" i="66"/>
  <c r="U207" i="66"/>
  <c r="S88" i="74"/>
  <c r="X88" i="74"/>
  <c r="T88" i="74"/>
  <c r="Q88" i="74"/>
  <c r="W88" i="74" s="1"/>
  <c r="Y130" i="66"/>
  <c r="Y210" i="66"/>
  <c r="X145" i="74"/>
  <c r="T145" i="74"/>
  <c r="Q145" i="74"/>
  <c r="U107" i="66"/>
  <c r="Y129" i="66"/>
  <c r="Y135" i="66"/>
  <c r="Y53" i="74"/>
  <c r="Y264" i="66"/>
  <c r="U175" i="66"/>
  <c r="Y225" i="66"/>
  <c r="Y187" i="66"/>
  <c r="U259" i="66"/>
  <c r="Z33" i="66"/>
  <c r="Z177" i="66"/>
  <c r="AA33" i="66"/>
  <c r="AA177" i="66"/>
  <c r="Y5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279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X87" i="74"/>
  <c r="T87" i="74"/>
  <c r="Q87" i="74"/>
  <c r="W87" i="74" s="1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W40" i="74" s="1"/>
  <c r="X40" i="74"/>
  <c r="S40" i="74"/>
  <c r="Y127" i="66"/>
  <c r="U226" i="66"/>
  <c r="T19" i="74"/>
  <c r="S19" i="74"/>
  <c r="Q19" i="74"/>
  <c r="W19" i="74" s="1"/>
  <c r="X19" i="74"/>
  <c r="U279" i="66"/>
  <c r="Y149" i="66"/>
  <c r="Y49" i="66"/>
  <c r="U24" i="66"/>
  <c r="Y291" i="66"/>
  <c r="AC109" i="74"/>
  <c r="O109" i="74"/>
  <c r="U178" i="66"/>
  <c r="Y140" i="66"/>
  <c r="AC45" i="74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X3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U104" i="66"/>
  <c r="Y73" i="66"/>
  <c r="Y200" i="66"/>
  <c r="AC61" i="74"/>
  <c r="U173" i="66"/>
  <c r="O28" i="74"/>
  <c r="AC28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O58" i="74"/>
  <c r="S101" i="74"/>
  <c r="Q101" i="74"/>
  <c r="W101" i="74" s="1"/>
  <c r="X101" i="74"/>
  <c r="T101" i="74"/>
  <c r="AC43" i="74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D263" i="72" a="1"/>
  <c r="D263" i="72" s="1"/>
  <c r="D139" i="72" a="1"/>
  <c r="D139" i="72" s="1"/>
  <c r="D201" i="72" a="1"/>
  <c r="D201" i="72" s="1"/>
  <c r="AE134" i="74" l="1"/>
  <c r="AG134" i="74"/>
  <c r="AE145" i="74"/>
  <c r="AG145" i="74"/>
  <c r="AE60" i="74"/>
  <c r="AG60" i="74"/>
  <c r="AE112" i="74"/>
  <c r="AG112" i="74"/>
  <c r="AE108" i="74"/>
  <c r="AG108" i="74"/>
  <c r="AE94" i="74"/>
  <c r="AF94" i="74" s="1"/>
  <c r="AG94" i="74"/>
  <c r="AE44" i="74"/>
  <c r="AG44" i="74"/>
  <c r="AE95" i="74"/>
  <c r="AG95" i="74"/>
  <c r="AE48" i="74"/>
  <c r="AG48" i="74"/>
  <c r="AE31" i="74"/>
  <c r="AG31" i="74"/>
  <c r="I32" i="77" s="1"/>
  <c r="AE127" i="74"/>
  <c r="AG127" i="74"/>
  <c r="J32" i="77" s="1"/>
  <c r="AE12" i="74"/>
  <c r="AF12" i="74" s="1"/>
  <c r="AG12" i="74"/>
  <c r="AE92" i="74"/>
  <c r="AG92" i="74"/>
  <c r="AE64" i="74"/>
  <c r="AG64" i="74"/>
  <c r="AE76" i="74"/>
  <c r="AG76" i="74"/>
  <c r="AE47" i="74"/>
  <c r="AG47" i="74"/>
  <c r="AE16" i="74"/>
  <c r="AE96" i="74"/>
  <c r="AF96" i="74" s="1"/>
  <c r="AG96" i="74"/>
  <c r="AE77" i="74"/>
  <c r="AG77" i="74"/>
  <c r="AE61" i="74"/>
  <c r="AF61" i="74" s="1"/>
  <c r="AG61" i="74"/>
  <c r="AE52" i="74"/>
  <c r="AF52" i="74" s="1"/>
  <c r="AG52" i="74"/>
  <c r="AE10" i="74"/>
  <c r="AG10" i="74"/>
  <c r="AE23" i="74"/>
  <c r="AF23" i="74" s="1"/>
  <c r="AE43" i="74"/>
  <c r="AG43" i="74"/>
  <c r="AE28" i="74"/>
  <c r="AF28" i="74" s="1"/>
  <c r="AG28" i="74"/>
  <c r="AE79" i="74"/>
  <c r="AG79" i="74"/>
  <c r="AE45" i="74"/>
  <c r="AG45" i="74"/>
  <c r="AE86" i="74"/>
  <c r="AG86" i="74"/>
  <c r="AE129" i="74"/>
  <c r="AG129" i="74"/>
  <c r="AE97" i="74"/>
  <c r="AG97" i="74"/>
  <c r="AE49" i="74"/>
  <c r="AF49" i="74" s="1"/>
  <c r="AG49" i="74"/>
  <c r="AE80" i="74"/>
  <c r="AG80" i="74"/>
  <c r="AE109" i="74"/>
  <c r="AG109" i="74"/>
  <c r="AE33" i="74"/>
  <c r="AF33" i="74" s="1"/>
  <c r="AG33" i="74"/>
  <c r="AE143" i="74"/>
  <c r="AG143" i="74"/>
  <c r="AE58" i="74"/>
  <c r="AG58" i="74"/>
  <c r="AE70" i="74"/>
  <c r="AF70" i="74" s="1"/>
  <c r="AE46" i="74"/>
  <c r="AG46" i="74"/>
  <c r="AE13" i="74"/>
  <c r="AF13" i="74" s="1"/>
  <c r="AG13" i="74"/>
  <c r="AE91" i="74"/>
  <c r="AF91" i="74" s="1"/>
  <c r="AG91" i="74"/>
  <c r="AE81" i="74"/>
  <c r="AG81" i="74"/>
  <c r="AE22" i="74"/>
  <c r="AE38" i="74"/>
  <c r="AG38" i="74"/>
  <c r="AE93" i="74"/>
  <c r="AF93" i="74" s="1"/>
  <c r="AG93" i="74"/>
  <c r="AE100" i="74"/>
  <c r="AG100" i="74"/>
  <c r="J22" i="77" s="1"/>
  <c r="AE29" i="74"/>
  <c r="AG29" i="74"/>
  <c r="AE32" i="74"/>
  <c r="AG32" i="74"/>
  <c r="I33" i="77" s="1"/>
  <c r="AE124" i="74"/>
  <c r="AG124" i="74"/>
  <c r="AC139" i="74"/>
  <c r="AE4" i="74"/>
  <c r="AF4" i="74" s="1"/>
  <c r="C22" i="77" s="1"/>
  <c r="AD4" i="74"/>
  <c r="E22" i="77" s="1"/>
  <c r="R202" i="66"/>
  <c r="S202" i="66" s="1"/>
  <c r="U202" i="66" s="1"/>
  <c r="V202" i="66"/>
  <c r="R190" i="66"/>
  <c r="AA143" i="66"/>
  <c r="Z287" i="66"/>
  <c r="Z143" i="66"/>
  <c r="R156" i="66"/>
  <c r="O139" i="74"/>
  <c r="AA139" i="74" s="1"/>
  <c r="U23" i="74"/>
  <c r="W237" i="66"/>
  <c r="Y237" i="66" s="1"/>
  <c r="Y4" i="74"/>
  <c r="R160" i="66"/>
  <c r="U10" i="74"/>
  <c r="O124" i="74"/>
  <c r="Z124" i="74" s="1"/>
  <c r="R237" i="66"/>
  <c r="S237" i="66" s="1"/>
  <c r="U237" i="66" s="1"/>
  <c r="R268" i="66"/>
  <c r="S268" i="66" s="1"/>
  <c r="U268" i="66" s="1"/>
  <c r="Z271" i="66"/>
  <c r="Z127" i="66"/>
  <c r="AA271" i="66"/>
  <c r="X263" i="66"/>
  <c r="Q215" i="66"/>
  <c r="T263" i="66"/>
  <c r="U48" i="74"/>
  <c r="X215" i="66"/>
  <c r="T215" i="66"/>
  <c r="V224" i="66"/>
  <c r="Q263" i="66"/>
  <c r="W224" i="66"/>
  <c r="Y224" i="66" s="1"/>
  <c r="U32" i="74"/>
  <c r="AD64" i="74"/>
  <c r="AF64" i="74"/>
  <c r="AD95" i="74"/>
  <c r="AF95" i="74"/>
  <c r="AD108" i="74"/>
  <c r="AF108" i="74"/>
  <c r="AD94" i="74"/>
  <c r="AD79" i="74"/>
  <c r="AF79" i="74"/>
  <c r="AD31" i="74"/>
  <c r="E32" i="77" s="1"/>
  <c r="AF31" i="74"/>
  <c r="C32" i="77" s="1"/>
  <c r="AD76" i="74"/>
  <c r="AF76" i="74"/>
  <c r="AD12" i="74"/>
  <c r="AD70" i="74"/>
  <c r="AG70" i="74" s="1"/>
  <c r="AD77" i="74"/>
  <c r="AF77" i="74"/>
  <c r="AD45" i="74"/>
  <c r="AF45" i="74"/>
  <c r="AD92" i="74"/>
  <c r="AF92" i="74"/>
  <c r="AD80" i="74"/>
  <c r="AD28" i="74"/>
  <c r="AD23" i="74"/>
  <c r="AG23" i="74" s="1"/>
  <c r="AD22" i="74"/>
  <c r="E29" i="77" s="1"/>
  <c r="AF22" i="74"/>
  <c r="C29" i="77" s="1"/>
  <c r="AD43" i="74"/>
  <c r="AF43" i="74"/>
  <c r="AD93" i="74"/>
  <c r="AD100" i="74"/>
  <c r="F22" i="77" s="1"/>
  <c r="AF100" i="74"/>
  <c r="D22" i="77" s="1"/>
  <c r="AD109" i="74"/>
  <c r="AF109" i="74"/>
  <c r="AD16" i="74"/>
  <c r="AG16" i="74" s="1"/>
  <c r="AF16" i="74"/>
  <c r="AD32" i="74"/>
  <c r="C9" i="77"/>
  <c r="AD38" i="74"/>
  <c r="AF38" i="74"/>
  <c r="AD127" i="74"/>
  <c r="F32" i="77" s="1"/>
  <c r="AF127" i="74"/>
  <c r="D32" i="77" s="1"/>
  <c r="AD52" i="74"/>
  <c r="AD96" i="74"/>
  <c r="AD61" i="74"/>
  <c r="AD86" i="74"/>
  <c r="AF86" i="74"/>
  <c r="AD129" i="74"/>
  <c r="AF129" i="74"/>
  <c r="AD33" i="74"/>
  <c r="AD13" i="74"/>
  <c r="AD49" i="74"/>
  <c r="AD143" i="74"/>
  <c r="AF143" i="74"/>
  <c r="AD124" i="74"/>
  <c r="AF124" i="74"/>
  <c r="AD47" i="74"/>
  <c r="AF47" i="74"/>
  <c r="AD139" i="74"/>
  <c r="AD44" i="74"/>
  <c r="AF44" i="74"/>
  <c r="AD46" i="74"/>
  <c r="AF46" i="74"/>
  <c r="AD97" i="74"/>
  <c r="AF97" i="74"/>
  <c r="AD145" i="74"/>
  <c r="AF145" i="74"/>
  <c r="AD91" i="74"/>
  <c r="AD81" i="74"/>
  <c r="AF81" i="74"/>
  <c r="AD134" i="74"/>
  <c r="AF134" i="74"/>
  <c r="AD60" i="74"/>
  <c r="AF60" i="74"/>
  <c r="AD29" i="74"/>
  <c r="AF29" i="74"/>
  <c r="AD58" i="74"/>
  <c r="AD112" i="74"/>
  <c r="AF112" i="74"/>
  <c r="AD10" i="74"/>
  <c r="C5" i="77"/>
  <c r="AD48" i="74"/>
  <c r="AF48" i="74"/>
  <c r="W268" i="66"/>
  <c r="Y268" i="66" s="1"/>
  <c r="W240" i="66"/>
  <c r="Y240" i="66" s="1"/>
  <c r="R240" i="66"/>
  <c r="S240" i="66" s="1"/>
  <c r="U240" i="66" s="1"/>
  <c r="U114" i="74"/>
  <c r="K119" i="66"/>
  <c r="Q119" i="66" s="1"/>
  <c r="V46" i="66"/>
  <c r="P252" i="66"/>
  <c r="V252" i="66" s="1"/>
  <c r="AA283" i="66"/>
  <c r="Z283" i="66"/>
  <c r="Z139" i="66"/>
  <c r="U46" i="74"/>
  <c r="AA250" i="66"/>
  <c r="AA253" i="66"/>
  <c r="U28" i="74"/>
  <c r="Z253" i="66"/>
  <c r="Z109" i="66"/>
  <c r="P106" i="66"/>
  <c r="V106" i="66" s="1"/>
  <c r="Z250" i="66"/>
  <c r="Z106" i="66"/>
  <c r="AA106" i="66"/>
  <c r="U12" i="74"/>
  <c r="V193" i="66"/>
  <c r="AA273" i="66"/>
  <c r="AA129" i="66"/>
  <c r="Z273" i="66"/>
  <c r="V172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V176" i="66"/>
  <c r="U45" i="74"/>
  <c r="T285" i="66"/>
  <c r="Q285" i="66"/>
  <c r="X285" i="66"/>
  <c r="O285" i="66"/>
  <c r="H485" i="41"/>
  <c r="T141" i="66"/>
  <c r="O141" i="66"/>
  <c r="G15" i="39"/>
  <c r="Q141" i="66"/>
  <c r="K141" i="74"/>
  <c r="X141" i="66"/>
  <c r="D44" i="17"/>
  <c r="D34" i="17"/>
  <c r="D40" i="17"/>
  <c r="V189" i="66"/>
  <c r="R154" i="66"/>
  <c r="U67" i="74"/>
  <c r="W250" i="66"/>
  <c r="Y250" i="66" s="1"/>
  <c r="V250" i="66"/>
  <c r="R250" i="66"/>
  <c r="S250" i="66" s="1"/>
  <c r="U250" i="66" s="1"/>
  <c r="U110" i="74"/>
  <c r="U5" i="74"/>
  <c r="O108" i="74"/>
  <c r="AA108" i="74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Y101" i="74"/>
  <c r="U95" i="74"/>
  <c r="U135" i="74"/>
  <c r="Y82" i="74"/>
  <c r="Y100" i="74"/>
  <c r="AA18" i="66"/>
  <c r="AA162" i="66"/>
  <c r="Y12" i="74"/>
  <c r="U92" i="74"/>
  <c r="U125" i="74"/>
  <c r="U120" i="74"/>
  <c r="Y147" i="74"/>
  <c r="Y130" i="74"/>
  <c r="Y61" i="74"/>
  <c r="Y123" i="74"/>
  <c r="U134" i="74"/>
  <c r="Y95" i="74"/>
  <c r="Y38" i="74"/>
  <c r="Y10" i="74"/>
  <c r="Y109" i="74"/>
  <c r="Y31" i="74"/>
  <c r="Y134" i="74"/>
  <c r="U99" i="74"/>
  <c r="U31" i="74"/>
  <c r="Y11" i="74"/>
  <c r="Y115" i="74"/>
  <c r="Y48" i="74"/>
  <c r="Y143" i="74"/>
  <c r="AC144" i="74"/>
  <c r="O144" i="74"/>
  <c r="Y88" i="74"/>
  <c r="Z96" i="74"/>
  <c r="P96" i="74"/>
  <c r="AA96" i="74"/>
  <c r="D33" i="17"/>
  <c r="I63" i="35" a="1"/>
  <c r="I63" i="35" s="1"/>
  <c r="I19" i="35" a="1"/>
  <c r="I19" i="35" s="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X71" i="66"/>
  <c r="T71" i="66"/>
  <c r="Q71" i="66"/>
  <c r="K71" i="74"/>
  <c r="O71" i="66"/>
  <c r="F19" i="39"/>
  <c r="D103" i="72" a="1"/>
  <c r="D103" i="72" s="1"/>
  <c r="D104" i="72" s="1" a="1"/>
  <c r="D104" i="72" s="1"/>
  <c r="T106" i="74"/>
  <c r="Q106" i="74"/>
  <c r="X106" i="74"/>
  <c r="U101" i="74"/>
  <c r="Y40" i="74"/>
  <c r="U66" i="74"/>
  <c r="D226" i="72" a="1"/>
  <c r="D226" i="72" s="1"/>
  <c r="D227" i="72" s="1" a="1"/>
  <c r="D227" i="72" s="1"/>
  <c r="J7" i="6"/>
  <c r="AA144" i="66"/>
  <c r="Z144" i="66"/>
  <c r="AA288" i="66"/>
  <c r="Z288" i="66"/>
  <c r="P144" i="66"/>
  <c r="I203" i="18"/>
  <c r="H203" i="18"/>
  <c r="Z29" i="74"/>
  <c r="AA29" i="74"/>
  <c r="I500" i="18"/>
  <c r="H500" i="18"/>
  <c r="AC125" i="74"/>
  <c r="O125" i="74"/>
  <c r="I248" i="18"/>
  <c r="H248" i="18"/>
  <c r="I252" i="18"/>
  <c r="H252" i="18"/>
  <c r="I453" i="18"/>
  <c r="H453" i="18"/>
  <c r="Y28" i="74"/>
  <c r="Y27" i="74"/>
  <c r="Y14" i="74"/>
  <c r="U88" i="74"/>
  <c r="U25" i="74"/>
  <c r="AA70" i="74"/>
  <c r="Z70" i="74"/>
  <c r="AA92" i="74"/>
  <c r="Z92" i="74"/>
  <c r="Y23" i="74"/>
  <c r="J17" i="39"/>
  <c r="O11" i="74"/>
  <c r="AC11" i="74"/>
  <c r="AG11" i="74" s="1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V48" i="66"/>
  <c r="AC106" i="74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Y32" i="74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D3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W21" i="66" s="1"/>
  <c r="Y21" i="66" s="1"/>
  <c r="S21" i="66"/>
  <c r="U21" i="66" s="1"/>
  <c r="O21" i="66"/>
  <c r="I202" i="18"/>
  <c r="H202" i="18"/>
  <c r="H198" i="18"/>
  <c r="I198" i="18"/>
  <c r="R192" i="66"/>
  <c r="V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N69" i="74"/>
  <c r="F25" i="39"/>
  <c r="I504" i="18"/>
  <c r="H504" i="18"/>
  <c r="I246" i="18"/>
  <c r="H246" i="18"/>
  <c r="I245" i="18"/>
  <c r="H245" i="18"/>
  <c r="Q142" i="66"/>
  <c r="X142" i="66"/>
  <c r="T142" i="66"/>
  <c r="K142" i="74"/>
  <c r="O142" i="66"/>
  <c r="G12" i="39"/>
  <c r="D166" i="72" a="1"/>
  <c r="D166" i="72" s="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X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V96" i="66"/>
  <c r="R96" i="66"/>
  <c r="S96" i="66" s="1"/>
  <c r="U96" i="66" s="1"/>
  <c r="W96" i="66"/>
  <c r="Y96" i="66" s="1"/>
  <c r="Q286" i="66"/>
  <c r="X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W165" i="66" s="1"/>
  <c r="Y165" i="66" s="1"/>
  <c r="O128" i="74"/>
  <c r="AC128" i="74"/>
  <c r="I499" i="18"/>
  <c r="H499" i="18"/>
  <c r="Y45" i="74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K153" i="66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V32" i="66"/>
  <c r="AA155" i="66"/>
  <c r="I249" i="18"/>
  <c r="H249" i="18"/>
  <c r="I455" i="18"/>
  <c r="H455" i="18"/>
  <c r="V80" i="66"/>
  <c r="R80" i="66"/>
  <c r="S80" i="66" s="1"/>
  <c r="U80" i="66" s="1"/>
  <c r="W80" i="66"/>
  <c r="Y80" i="66" s="1"/>
  <c r="U147" i="74"/>
  <c r="Z284" i="66"/>
  <c r="Z140" i="66"/>
  <c r="AA140" i="66"/>
  <c r="AA284" i="66"/>
  <c r="I211" i="18"/>
  <c r="H211" i="18"/>
  <c r="V272" i="66"/>
  <c r="R272" i="66"/>
  <c r="S272" i="66" s="1"/>
  <c r="U272" i="66" s="1"/>
  <c r="W272" i="66"/>
  <c r="Y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16" i="74"/>
  <c r="Y29" i="74"/>
  <c r="Y86" i="74"/>
  <c r="U100" i="74"/>
  <c r="O94" i="74"/>
  <c r="P94" i="74" s="1"/>
  <c r="AC140" i="74"/>
  <c r="O140" i="74"/>
  <c r="AC18" i="74"/>
  <c r="O18" i="74"/>
  <c r="I200" i="18"/>
  <c r="H200" i="18"/>
  <c r="Y46" i="74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Y73" i="74"/>
  <c r="U39" i="74"/>
  <c r="U16" i="74"/>
  <c r="Q108" i="74"/>
  <c r="X108" i="74"/>
  <c r="T108" i="74"/>
  <c r="I199" i="18"/>
  <c r="H199" i="18"/>
  <c r="I204" i="18"/>
  <c r="H204" i="18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V45" i="66"/>
  <c r="R45" i="66"/>
  <c r="Y110" i="74"/>
  <c r="Z86" i="74"/>
  <c r="AA86" i="74"/>
  <c r="U129" i="74"/>
  <c r="V124" i="66"/>
  <c r="R124" i="66"/>
  <c r="S124" i="66" s="1"/>
  <c r="U124" i="66" s="1"/>
  <c r="W124" i="66"/>
  <c r="Y124" i="66" s="1"/>
  <c r="U47" i="74"/>
  <c r="Z4" i="74"/>
  <c r="AA4" i="74"/>
  <c r="R204" i="66"/>
  <c r="S204" i="66" s="1"/>
  <c r="U204" i="66" s="1"/>
  <c r="W204" i="66"/>
  <c r="Y204" i="66" s="1"/>
  <c r="V204" i="66"/>
  <c r="Z95" i="74"/>
  <c r="AA95" i="74"/>
  <c r="U107" i="74"/>
  <c r="V60" i="66"/>
  <c r="R60" i="66"/>
  <c r="S60" i="66" s="1"/>
  <c r="U60" i="66" s="1"/>
  <c r="W60" i="66"/>
  <c r="Y60" i="66" s="1"/>
  <c r="U18" i="74"/>
  <c r="Y8" i="74"/>
  <c r="U139" i="74"/>
  <c r="U118" i="74"/>
  <c r="Y125" i="74"/>
  <c r="U15" i="74"/>
  <c r="R241" i="66"/>
  <c r="S241" i="66" s="1"/>
  <c r="U241" i="66" s="1"/>
  <c r="W241" i="66"/>
  <c r="Y241" i="66" s="1"/>
  <c r="V241" i="66"/>
  <c r="V64" i="66"/>
  <c r="R64" i="66"/>
  <c r="S64" i="66" s="1"/>
  <c r="U64" i="66" s="1"/>
  <c r="W64" i="66"/>
  <c r="Y64" i="66" s="1"/>
  <c r="U104" i="74"/>
  <c r="Y25" i="74"/>
  <c r="U121" i="74"/>
  <c r="AA52" i="74"/>
  <c r="Z52" i="74"/>
  <c r="V256" i="66"/>
  <c r="R256" i="66"/>
  <c r="S256" i="66" s="1"/>
  <c r="U256" i="66" s="1"/>
  <c r="W256" i="66"/>
  <c r="Y256" i="66" s="1"/>
  <c r="U8" i="74"/>
  <c r="Z43" i="74"/>
  <c r="AA43" i="74"/>
  <c r="AA58" i="74"/>
  <c r="Z58" i="74"/>
  <c r="P58" i="74"/>
  <c r="AA28" i="74"/>
  <c r="Z28" i="74"/>
  <c r="P28" i="74"/>
  <c r="Y22" i="74"/>
  <c r="V238" i="66"/>
  <c r="R238" i="66"/>
  <c r="S238" i="66" s="1"/>
  <c r="U238" i="66" s="1"/>
  <c r="W238" i="66"/>
  <c r="Y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V112" i="66"/>
  <c r="R112" i="66"/>
  <c r="S112" i="66" s="1"/>
  <c r="U112" i="66" s="1"/>
  <c r="W112" i="66"/>
  <c r="Y112" i="66" s="1"/>
  <c r="V23" i="66"/>
  <c r="R23" i="66"/>
  <c r="V16" i="66"/>
  <c r="R16" i="66"/>
  <c r="Z112" i="74"/>
  <c r="AA112" i="74"/>
  <c r="P112" i="74"/>
  <c r="U109" i="74"/>
  <c r="Y99" i="74"/>
  <c r="Y118" i="74"/>
  <c r="AA61" i="74"/>
  <c r="Z61" i="74"/>
  <c r="Y81" i="74"/>
  <c r="Y56" i="74"/>
  <c r="Z93" i="74"/>
  <c r="AA93" i="74"/>
  <c r="P93" i="74"/>
  <c r="V10" i="66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39" i="74"/>
  <c r="Y62" i="74"/>
  <c r="U81" i="74"/>
  <c r="R94" i="66"/>
  <c r="S94" i="66" s="1"/>
  <c r="U94" i="66" s="1"/>
  <c r="V94" i="66"/>
  <c r="W94" i="66"/>
  <c r="Y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AA100" i="74"/>
  <c r="Z100" i="74"/>
  <c r="Z45" i="74"/>
  <c r="AA45" i="74"/>
  <c r="P45" i="74"/>
  <c r="Y19" i="74"/>
  <c r="U13" i="74"/>
  <c r="U140" i="74"/>
  <c r="Y49" i="74"/>
  <c r="Y135" i="74"/>
  <c r="Y92" i="74"/>
  <c r="AA97" i="74"/>
  <c r="Z97" i="74"/>
  <c r="P97" i="74"/>
  <c r="V220" i="66"/>
  <c r="R220" i="66"/>
  <c r="S220" i="66" s="1"/>
  <c r="U220" i="66" s="1"/>
  <c r="W220" i="66"/>
  <c r="Y220" i="66" s="1"/>
  <c r="U44" i="74"/>
  <c r="Y136" i="74"/>
  <c r="AA81" i="74"/>
  <c r="Z81" i="74"/>
  <c r="AA143" i="74"/>
  <c r="Z143" i="74"/>
  <c r="Y67" i="74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R58" i="66"/>
  <c r="S58" i="66" s="1"/>
  <c r="U58" i="66" s="1"/>
  <c r="V58" i="66"/>
  <c r="W58" i="66"/>
  <c r="Y58" i="66" s="1"/>
  <c r="Z33" i="74"/>
  <c r="AA33" i="74"/>
  <c r="R76" i="66"/>
  <c r="S76" i="66" s="1"/>
  <c r="U76" i="66" s="1"/>
  <c r="V76" i="66"/>
  <c r="W76" i="66"/>
  <c r="Y76" i="66" s="1"/>
  <c r="AA79" i="74"/>
  <c r="Z79" i="74"/>
  <c r="Y70" i="74"/>
  <c r="AA16" i="74"/>
  <c r="Z16" i="74"/>
  <c r="P16" i="74"/>
  <c r="V208" i="66"/>
  <c r="R208" i="66"/>
  <c r="S208" i="66" s="1"/>
  <c r="U208" i="66" s="1"/>
  <c r="W208" i="66"/>
  <c r="Y208" i="66" s="1"/>
  <c r="R167" i="66"/>
  <c r="V167" i="66"/>
  <c r="V12" i="66"/>
  <c r="R12" i="66"/>
  <c r="AA38" i="74"/>
  <c r="Z38" i="74"/>
  <c r="R28" i="66"/>
  <c r="V28" i="66"/>
  <c r="AA46" i="74"/>
  <c r="Z46" i="74"/>
  <c r="P46" i="74"/>
  <c r="AA47" i="74"/>
  <c r="Z47" i="74"/>
  <c r="AA127" i="74"/>
  <c r="Z127" i="74"/>
  <c r="Y5" i="74"/>
  <c r="Y75" i="74"/>
  <c r="U115" i="74"/>
  <c r="U29" i="74"/>
  <c r="U70" i="74"/>
  <c r="Y91" i="74"/>
  <c r="Y43" i="74"/>
  <c r="U27" i="74"/>
  <c r="V93" i="66"/>
  <c r="R93" i="66"/>
  <c r="S93" i="66" s="1"/>
  <c r="U93" i="66" s="1"/>
  <c r="W93" i="66"/>
  <c r="Y93" i="66" s="1"/>
  <c r="Y87" i="74"/>
  <c r="Y129" i="74"/>
  <c r="Y104" i="74"/>
  <c r="Y24" i="74"/>
  <c r="R49" i="66"/>
  <c r="V49" i="66"/>
  <c r="Y33" i="74"/>
  <c r="Y47" i="74"/>
  <c r="U63" i="74"/>
  <c r="Z60" i="74"/>
  <c r="AA60" i="74"/>
  <c r="P60" i="74"/>
  <c r="Y107" i="74"/>
  <c r="Y121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I24" i="77" l="1"/>
  <c r="J24" i="77"/>
  <c r="AG22" i="74"/>
  <c r="K29" i="77" s="1"/>
  <c r="AE140" i="74"/>
  <c r="AG140" i="74"/>
  <c r="AE144" i="74"/>
  <c r="AF144" i="74" s="1"/>
  <c r="AG144" i="74"/>
  <c r="AE118" i="74"/>
  <c r="AF118" i="74" s="1"/>
  <c r="D29" i="77" s="1"/>
  <c r="L29" i="77" s="1"/>
  <c r="AG118" i="74"/>
  <c r="J29" i="77" s="1"/>
  <c r="AE106" i="74"/>
  <c r="AG106" i="74"/>
  <c r="AE125" i="74"/>
  <c r="AF125" i="74" s="1"/>
  <c r="AG125" i="74"/>
  <c r="AE18" i="74"/>
  <c r="AG18" i="74"/>
  <c r="AE128" i="74"/>
  <c r="AG128" i="74"/>
  <c r="J33" i="77" s="1"/>
  <c r="AE139" i="74"/>
  <c r="AF139" i="74" s="1"/>
  <c r="AG139" i="74"/>
  <c r="AE11" i="74"/>
  <c r="C42" i="77" s="1"/>
  <c r="C6" i="77"/>
  <c r="Z139" i="74"/>
  <c r="Z108" i="74"/>
  <c r="P124" i="74"/>
  <c r="V124" i="74" s="1"/>
  <c r="AA124" i="74"/>
  <c r="AF80" i="74"/>
  <c r="AF58" i="74"/>
  <c r="D43" i="17"/>
  <c r="O119" i="66"/>
  <c r="AA263" i="66" s="1"/>
  <c r="K119" i="74"/>
  <c r="T119" i="74" s="1"/>
  <c r="W252" i="66"/>
  <c r="Y252" i="66" s="1"/>
  <c r="E33" i="77"/>
  <c r="G19" i="39"/>
  <c r="T119" i="66"/>
  <c r="X119" i="66"/>
  <c r="D24" i="77"/>
  <c r="AD128" i="74"/>
  <c r="D9" i="77"/>
  <c r="AD106" i="74"/>
  <c r="AD18" i="74"/>
  <c r="AF18" i="74"/>
  <c r="AF32" i="74"/>
  <c r="C33" i="77" s="1"/>
  <c r="C45" i="77"/>
  <c r="AD140" i="74"/>
  <c r="AF140" i="74"/>
  <c r="AD125" i="74"/>
  <c r="AD144" i="74"/>
  <c r="C24" i="77"/>
  <c r="AD11" i="74"/>
  <c r="AF10" i="74"/>
  <c r="C41" i="77"/>
  <c r="AD118" i="74"/>
  <c r="F29" i="77" s="1"/>
  <c r="R252" i="66"/>
  <c r="S252" i="66" s="1"/>
  <c r="U252" i="66" s="1"/>
  <c r="R106" i="66"/>
  <c r="S106" i="66" s="1"/>
  <c r="U106" i="66" s="1"/>
  <c r="W106" i="66"/>
  <c r="Y106" i="66" s="1"/>
  <c r="P106" i="74"/>
  <c r="R106" i="74" s="1"/>
  <c r="S106" i="74" s="1"/>
  <c r="U106" i="74" s="1"/>
  <c r="Z106" i="74"/>
  <c r="V10" i="74"/>
  <c r="P108" i="74"/>
  <c r="W108" i="74" s="1"/>
  <c r="Y108" i="74" s="1"/>
  <c r="J485" i="41"/>
  <c r="P213" i="66"/>
  <c r="W213" i="66" s="1"/>
  <c r="Y213" i="66" s="1"/>
  <c r="P285" i="66"/>
  <c r="V285" i="66" s="1"/>
  <c r="P165" i="66"/>
  <c r="R165" i="66" s="1"/>
  <c r="V108" i="66"/>
  <c r="W108" i="66"/>
  <c r="Y108" i="66" s="1"/>
  <c r="O141" i="74"/>
  <c r="AC141" i="74"/>
  <c r="Q141" i="74"/>
  <c r="X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V128" i="66"/>
  <c r="R128" i="66"/>
  <c r="S128" i="66" s="1"/>
  <c r="U128" i="66" s="1"/>
  <c r="W128" i="66"/>
  <c r="Y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Q21" i="74"/>
  <c r="W21" i="74" s="1"/>
  <c r="Y21" i="74" s="1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X142" i="74"/>
  <c r="O142" i="74"/>
  <c r="AC142" i="74"/>
  <c r="I165" i="18"/>
  <c r="H165" i="18"/>
  <c r="I126" i="18"/>
  <c r="H126" i="18"/>
  <c r="H367" i="18"/>
  <c r="I367" i="18"/>
  <c r="R80" i="74"/>
  <c r="S80" i="74" s="1"/>
  <c r="U80" i="74" s="1"/>
  <c r="W80" i="74"/>
  <c r="Y80" i="74" s="1"/>
  <c r="V80" i="74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X71" i="74"/>
  <c r="T71" i="74"/>
  <c r="Q71" i="74"/>
  <c r="AC71" i="74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Q69" i="74"/>
  <c r="H237" i="18"/>
  <c r="I237" i="18"/>
  <c r="V48" i="74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V288" i="66"/>
  <c r="W288" i="66"/>
  <c r="Y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J503" i="18"/>
  <c r="F503" i="18"/>
  <c r="H117" i="18"/>
  <c r="I117" i="18"/>
  <c r="F492" i="18"/>
  <c r="J492" i="18"/>
  <c r="F253" i="18"/>
  <c r="J253" i="18"/>
  <c r="F459" i="18"/>
  <c r="J459" i="18"/>
  <c r="J496" i="18"/>
  <c r="F496" i="18"/>
  <c r="I189" i="18"/>
  <c r="H189" i="18"/>
  <c r="Z140" i="74"/>
  <c r="AA140" i="74"/>
  <c r="I486" i="18"/>
  <c r="H486" i="18"/>
  <c r="I488" i="18"/>
  <c r="H488" i="18"/>
  <c r="I409" i="18"/>
  <c r="H409" i="18"/>
  <c r="H159" i="18"/>
  <c r="I159" i="18"/>
  <c r="I158" i="18"/>
  <c r="H158" i="18"/>
  <c r="F202" i="18"/>
  <c r="J202" i="18"/>
  <c r="R32" i="74"/>
  <c r="V32" i="74"/>
  <c r="I122" i="18"/>
  <c r="H122" i="18"/>
  <c r="I368" i="18"/>
  <c r="H368" i="18"/>
  <c r="I378" i="18"/>
  <c r="H378" i="18"/>
  <c r="J203" i="18"/>
  <c r="F203" i="18"/>
  <c r="J498" i="18"/>
  <c r="F498" i="18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F460" i="18"/>
  <c r="J460" i="18"/>
  <c r="F501" i="18"/>
  <c r="J501" i="18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J250" i="18"/>
  <c r="F250" i="18"/>
  <c r="I195" i="18"/>
  <c r="H195" i="18"/>
  <c r="F200" i="18"/>
  <c r="J200" i="18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S153" i="66"/>
  <c r="X153" i="66"/>
  <c r="K9" i="74"/>
  <c r="Q153" i="66"/>
  <c r="W153" i="66" s="1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V144" i="66"/>
  <c r="R144" i="66"/>
  <c r="S144" i="66" s="1"/>
  <c r="U144" i="66" s="1"/>
  <c r="W144" i="66"/>
  <c r="Y144" i="66" s="1"/>
  <c r="R96" i="74"/>
  <c r="S96" i="74" s="1"/>
  <c r="U96" i="74" s="1"/>
  <c r="V96" i="74"/>
  <c r="W96" i="74"/>
  <c r="Y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R23" i="74"/>
  <c r="V23" i="74"/>
  <c r="F24" i="77"/>
  <c r="V16" i="74"/>
  <c r="R16" i="74"/>
  <c r="V94" i="74"/>
  <c r="R94" i="74"/>
  <c r="S94" i="74" s="1"/>
  <c r="U94" i="74" s="1"/>
  <c r="W94" i="74"/>
  <c r="Y94" i="74" s="1"/>
  <c r="V76" i="74"/>
  <c r="R76" i="74"/>
  <c r="S76" i="74" s="1"/>
  <c r="U76" i="74" s="1"/>
  <c r="W76" i="74"/>
  <c r="Y76" i="74" s="1"/>
  <c r="E24" i="77"/>
  <c r="R49" i="74"/>
  <c r="V49" i="74"/>
  <c r="V97" i="74"/>
  <c r="R97" i="74"/>
  <c r="S97" i="74" s="1"/>
  <c r="U97" i="74" s="1"/>
  <c r="W97" i="74"/>
  <c r="Y97" i="74" s="1"/>
  <c r="V64" i="74"/>
  <c r="R64" i="74"/>
  <c r="S64" i="74" s="1"/>
  <c r="U64" i="74" s="1"/>
  <c r="W64" i="74"/>
  <c r="Y64" i="74" s="1"/>
  <c r="V28" i="74"/>
  <c r="R28" i="74"/>
  <c r="W60" i="74"/>
  <c r="Y60" i="74" s="1"/>
  <c r="R60" i="74"/>
  <c r="S60" i="74" s="1"/>
  <c r="U60" i="74" s="1"/>
  <c r="V60" i="74"/>
  <c r="R45" i="74"/>
  <c r="V45" i="74"/>
  <c r="R58" i="74"/>
  <c r="S58" i="74" s="1"/>
  <c r="U58" i="74" s="1"/>
  <c r="W58" i="74"/>
  <c r="Y58" i="74" s="1"/>
  <c r="V58" i="74"/>
  <c r="R112" i="74"/>
  <c r="S112" i="74" s="1"/>
  <c r="U112" i="74" s="1"/>
  <c r="V112" i="74"/>
  <c r="W112" i="74"/>
  <c r="Y112" i="74" s="1"/>
  <c r="W145" i="74"/>
  <c r="Y145" i="74" s="1"/>
  <c r="R145" i="74"/>
  <c r="S145" i="74" s="1"/>
  <c r="U145" i="74" s="1"/>
  <c r="V145" i="74"/>
  <c r="V12" i="74"/>
  <c r="R12" i="74"/>
  <c r="R93" i="74"/>
  <c r="S93" i="74" s="1"/>
  <c r="U93" i="74" s="1"/>
  <c r="W93" i="74"/>
  <c r="Y93" i="74" s="1"/>
  <c r="V93" i="74"/>
  <c r="R46" i="74"/>
  <c r="V46" i="74"/>
  <c r="D203" i="72" a="1"/>
  <c r="D203" i="72" s="1"/>
  <c r="D265" i="72" a="1"/>
  <c r="D265" i="72" s="1"/>
  <c r="D141" i="72" a="1"/>
  <c r="D141" i="72" s="1"/>
  <c r="AE71" i="74" l="1"/>
  <c r="AG71" i="74"/>
  <c r="AE21" i="74"/>
  <c r="AF21" i="74" s="1"/>
  <c r="AG21" i="74"/>
  <c r="AE141" i="74"/>
  <c r="AF141" i="74" s="1"/>
  <c r="AG141" i="74"/>
  <c r="AE142" i="74"/>
  <c r="AF142" i="74" s="1"/>
  <c r="AG142" i="74"/>
  <c r="AE69" i="74"/>
  <c r="AF69" i="74" s="1"/>
  <c r="AG69" i="74"/>
  <c r="AF11" i="74"/>
  <c r="D5" i="77"/>
  <c r="W124" i="74"/>
  <c r="Y124" i="74" s="1"/>
  <c r="R124" i="74"/>
  <c r="S124" i="74" s="1"/>
  <c r="U124" i="74" s="1"/>
  <c r="O119" i="74"/>
  <c r="AA119" i="74" s="1"/>
  <c r="AC119" i="74"/>
  <c r="Q119" i="74"/>
  <c r="X119" i="74"/>
  <c r="P263" i="66"/>
  <c r="R263" i="66" s="1"/>
  <c r="S263" i="66" s="1"/>
  <c r="U263" i="66" s="1"/>
  <c r="R108" i="74"/>
  <c r="S108" i="74" s="1"/>
  <c r="U108" i="74" s="1"/>
  <c r="P119" i="66"/>
  <c r="R119" i="66" s="1"/>
  <c r="S119" i="66" s="1"/>
  <c r="U119" i="66" s="1"/>
  <c r="AA119" i="66"/>
  <c r="Z119" i="66"/>
  <c r="V106" i="74"/>
  <c r="Z263" i="66"/>
  <c r="W106" i="74"/>
  <c r="Y106" i="74" s="1"/>
  <c r="F33" i="77"/>
  <c r="V108" i="74"/>
  <c r="AD69" i="74"/>
  <c r="AD71" i="74"/>
  <c r="AF71" i="74"/>
  <c r="AD21" i="74"/>
  <c r="AF106" i="74"/>
  <c r="AD142" i="74"/>
  <c r="AD141" i="74"/>
  <c r="AF128" i="74"/>
  <c r="D33" i="77" s="1"/>
  <c r="D45" i="77"/>
  <c r="V165" i="66"/>
  <c r="W285" i="66"/>
  <c r="Y285" i="66" s="1"/>
  <c r="R285" i="66"/>
  <c r="S285" i="66" s="1"/>
  <c r="U285" i="66" s="1"/>
  <c r="R213" i="66"/>
  <c r="S213" i="66" s="1"/>
  <c r="U213" i="66" s="1"/>
  <c r="V213" i="66"/>
  <c r="P141" i="74"/>
  <c r="AA141" i="74"/>
  <c r="Z141" i="74"/>
  <c r="W141" i="66"/>
  <c r="Y141" i="66" s="1"/>
  <c r="V141" i="66"/>
  <c r="R141" i="66"/>
  <c r="S141" i="66" s="1"/>
  <c r="U141" i="66" s="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07" i="18"/>
  <c r="H107" i="18"/>
  <c r="H105" i="18"/>
  <c r="I105" i="18"/>
  <c r="F489" i="18"/>
  <c r="J489" i="18"/>
  <c r="V144" i="74"/>
  <c r="R144" i="74"/>
  <c r="S144" i="74" s="1"/>
  <c r="U144" i="74" s="1"/>
  <c r="W144" i="74"/>
  <c r="Y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V21" i="66"/>
  <c r="J116" i="18"/>
  <c r="F116" i="18"/>
  <c r="J231" i="18"/>
  <c r="F231" i="18"/>
  <c r="I407" i="18"/>
  <c r="H407" i="18"/>
  <c r="F486" i="18"/>
  <c r="J486" i="18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H111" i="18"/>
  <c r="I111" i="18"/>
  <c r="H110" i="18"/>
  <c r="I110" i="18"/>
  <c r="F366" i="18"/>
  <c r="J366" i="18"/>
  <c r="J483" i="18"/>
  <c r="F483" i="18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I402" i="18"/>
  <c r="H402" i="18"/>
  <c r="I406" i="18"/>
  <c r="H406" i="18"/>
  <c r="J369" i="18"/>
  <c r="F369" i="18"/>
  <c r="F233" i="18"/>
  <c r="J233" i="18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V128" i="74"/>
  <c r="R128" i="74"/>
  <c r="S128" i="74" s="1"/>
  <c r="U128" i="74" s="1"/>
  <c r="W128" i="74"/>
  <c r="Y128" i="74" s="1"/>
  <c r="J370" i="18"/>
  <c r="F370" i="18"/>
  <c r="F478" i="18"/>
  <c r="J478" i="18"/>
  <c r="F196" i="18"/>
  <c r="J196" i="18"/>
  <c r="J235" i="18"/>
  <c r="F235" i="18"/>
  <c r="I112" i="18"/>
  <c r="H112" i="18"/>
  <c r="J230" i="18"/>
  <c r="F230" i="18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F439" i="18"/>
  <c r="J439" i="18"/>
  <c r="I400" i="18"/>
  <c r="H400" i="18"/>
  <c r="I398" i="18"/>
  <c r="H398" i="18"/>
  <c r="J378" i="18"/>
  <c r="F378" i="18"/>
  <c r="I103" i="18"/>
  <c r="H103" i="18"/>
  <c r="F437" i="18"/>
  <c r="J437" i="18"/>
  <c r="Z69" i="74"/>
  <c r="AA69" i="74"/>
  <c r="P69" i="74"/>
  <c r="V215" i="66"/>
  <c r="R215" i="66"/>
  <c r="S215" i="66" s="1"/>
  <c r="U215" i="66" s="1"/>
  <c r="W215" i="66"/>
  <c r="Y215" i="66" s="1"/>
  <c r="F187" i="18"/>
  <c r="J187" i="18"/>
  <c r="J373" i="18"/>
  <c r="F373" i="18"/>
  <c r="J185" i="18"/>
  <c r="F185" i="18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F123" i="18"/>
  <c r="J123" i="18"/>
  <c r="J229" i="18"/>
  <c r="F229" i="18"/>
  <c r="F409" i="18"/>
  <c r="J409" i="18"/>
  <c r="I109" i="18"/>
  <c r="H109" i="18"/>
  <c r="J236" i="18"/>
  <c r="F236" i="18"/>
  <c r="AA71" i="74"/>
  <c r="Z71" i="74"/>
  <c r="P71" i="74"/>
  <c r="V71" i="66"/>
  <c r="W71" i="66"/>
  <c r="Y71" i="66" s="1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Y153" i="66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V286" i="66"/>
  <c r="W286" i="66"/>
  <c r="Y286" i="66" s="1"/>
  <c r="J160" i="18"/>
  <c r="F160" i="18"/>
  <c r="F421" i="18"/>
  <c r="J421" i="18"/>
  <c r="F412" i="18"/>
  <c r="J412" i="18"/>
  <c r="V142" i="66"/>
  <c r="R142" i="66"/>
  <c r="S142" i="66" s="1"/>
  <c r="U142" i="66" s="1"/>
  <c r="W142" i="66"/>
  <c r="Y142" i="66" s="1"/>
  <c r="I354" i="18"/>
  <c r="H354" i="18"/>
  <c r="I356" i="18"/>
  <c r="H356" i="18"/>
  <c r="Q9" i="74"/>
  <c r="W9" i="74" s="1"/>
  <c r="X9" i="74"/>
  <c r="T9" i="74"/>
  <c r="S9" i="74"/>
  <c r="AC9" i="74"/>
  <c r="O9" i="74"/>
  <c r="F125" i="18"/>
  <c r="J125" i="18"/>
  <c r="F167" i="18"/>
  <c r="J167" i="18"/>
  <c r="I405" i="18"/>
  <c r="H405" i="18"/>
  <c r="AC117" i="74"/>
  <c r="Q117" i="74"/>
  <c r="O117" i="74"/>
  <c r="F449" i="18"/>
  <c r="J449" i="18"/>
  <c r="J158" i="18"/>
  <c r="F158" i="18"/>
  <c r="I106" i="18"/>
  <c r="H106" i="18"/>
  <c r="J191" i="18"/>
  <c r="F191" i="18"/>
  <c r="P261" i="66"/>
  <c r="W69" i="66"/>
  <c r="Y69" i="66" s="1"/>
  <c r="V69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AE119" i="74" l="1"/>
  <c r="AF119" i="74" s="1"/>
  <c r="AG119" i="74"/>
  <c r="AE9" i="74"/>
  <c r="AF9" i="74" s="1"/>
  <c r="AG9" i="74"/>
  <c r="AE117" i="74"/>
  <c r="AF117" i="74" s="1"/>
  <c r="AG117" i="74"/>
  <c r="AD119" i="74"/>
  <c r="P119" i="74"/>
  <c r="W119" i="74" s="1"/>
  <c r="Y119" i="74" s="1"/>
  <c r="Z119" i="74"/>
  <c r="W263" i="66"/>
  <c r="Y263" i="66" s="1"/>
  <c r="V263" i="66"/>
  <c r="V119" i="66"/>
  <c r="W119" i="66"/>
  <c r="Y119" i="66" s="1"/>
  <c r="D41" i="77"/>
  <c r="AD9" i="74"/>
  <c r="AD117" i="74"/>
  <c r="V141" i="74"/>
  <c r="R141" i="74"/>
  <c r="S141" i="74" s="1"/>
  <c r="U141" i="74" s="1"/>
  <c r="W141" i="74"/>
  <c r="Y141" i="74" s="1"/>
  <c r="D109" i="72" a="1"/>
  <c r="D109" i="72" s="1"/>
  <c r="D110" i="72" s="1" a="1"/>
  <c r="D110" i="72" s="1"/>
  <c r="D111" i="72" s="1" a="1"/>
  <c r="D111" i="72" s="1"/>
  <c r="D171" i="72" a="1"/>
  <c r="D171" i="72" s="1"/>
  <c r="D172" i="72" s="1" a="1"/>
  <c r="D172" i="72" s="1"/>
  <c r="D173" i="72" s="1" a="1"/>
  <c r="D173" i="72" s="1"/>
  <c r="D174" i="72" s="1" a="1"/>
  <c r="D174" i="72" s="1"/>
  <c r="U9" i="74"/>
  <c r="Y9" i="74"/>
  <c r="F151" i="18"/>
  <c r="J151" i="18"/>
  <c r="F113" i="18"/>
  <c r="J113" i="18"/>
  <c r="F398" i="18"/>
  <c r="J398" i="18"/>
  <c r="J112" i="18"/>
  <c r="F112" i="18"/>
  <c r="F101" i="18"/>
  <c r="J101" i="18"/>
  <c r="J155" i="18"/>
  <c r="F155" i="18"/>
  <c r="J354" i="18"/>
  <c r="F354" i="18"/>
  <c r="F396" i="18"/>
  <c r="J396" i="18"/>
  <c r="V69" i="74"/>
  <c r="R69" i="74"/>
  <c r="S69" i="74" s="1"/>
  <c r="U69" i="74" s="1"/>
  <c r="W69" i="74"/>
  <c r="Y69" i="74" s="1"/>
  <c r="F102" i="18"/>
  <c r="J102" i="18"/>
  <c r="F110" i="18"/>
  <c r="J110" i="18"/>
  <c r="V153" i="66"/>
  <c r="R153" i="66"/>
  <c r="F400" i="18"/>
  <c r="J400" i="18"/>
  <c r="F363" i="18"/>
  <c r="J363" i="18"/>
  <c r="F149" i="18"/>
  <c r="J149" i="18"/>
  <c r="F403" i="18"/>
  <c r="J403" i="18"/>
  <c r="J104" i="18"/>
  <c r="F104" i="18"/>
  <c r="R261" i="66"/>
  <c r="S261" i="66" s="1"/>
  <c r="U261" i="66" s="1"/>
  <c r="W261" i="66"/>
  <c r="Y261" i="66" s="1"/>
  <c r="V261" i="66"/>
  <c r="P9" i="74"/>
  <c r="Z9" i="74"/>
  <c r="AA9" i="74"/>
  <c r="W117" i="66"/>
  <c r="Y117" i="66" s="1"/>
  <c r="R117" i="66"/>
  <c r="S117" i="66" s="1"/>
  <c r="U117" i="66" s="1"/>
  <c r="V117" i="66"/>
  <c r="J360" i="18"/>
  <c r="F360" i="18"/>
  <c r="F399" i="18"/>
  <c r="J399" i="18"/>
  <c r="J108" i="18"/>
  <c r="F108" i="18"/>
  <c r="F405" i="18"/>
  <c r="J405" i="18"/>
  <c r="J153" i="18"/>
  <c r="F153" i="18"/>
  <c r="F353" i="18"/>
  <c r="J353" i="18"/>
  <c r="F105" i="18"/>
  <c r="J105" i="18"/>
  <c r="J359" i="18"/>
  <c r="F359" i="18"/>
  <c r="J145" i="18"/>
  <c r="F145" i="18"/>
  <c r="F395" i="18"/>
  <c r="J395" i="18"/>
  <c r="J109" i="18"/>
  <c r="F109" i="18"/>
  <c r="F154" i="18"/>
  <c r="J154" i="18"/>
  <c r="F406" i="18"/>
  <c r="J406" i="18"/>
  <c r="J111" i="18"/>
  <c r="F111" i="18"/>
  <c r="F397" i="18"/>
  <c r="J397" i="18"/>
  <c r="F401" i="18"/>
  <c r="J401" i="18"/>
  <c r="D75" i="72" a="1"/>
  <c r="D75" i="72" s="1"/>
  <c r="J106" i="18"/>
  <c r="F106" i="18"/>
  <c r="F361" i="18"/>
  <c r="J361" i="18"/>
  <c r="F146" i="18"/>
  <c r="J146" i="18"/>
  <c r="R142" i="74"/>
  <c r="S142" i="74" s="1"/>
  <c r="U142" i="74" s="1"/>
  <c r="W142" i="74"/>
  <c r="Y142" i="74" s="1"/>
  <c r="V142" i="74"/>
  <c r="J144" i="18"/>
  <c r="F144" i="18"/>
  <c r="J147" i="18"/>
  <c r="F147" i="18"/>
  <c r="J365" i="18"/>
  <c r="F365" i="18"/>
  <c r="F100" i="18"/>
  <c r="J100" i="18"/>
  <c r="J148" i="18"/>
  <c r="F148" i="18"/>
  <c r="F402" i="18"/>
  <c r="J402" i="18"/>
  <c r="F394" i="18"/>
  <c r="J394" i="18"/>
  <c r="F407" i="18"/>
  <c r="J407" i="18"/>
  <c r="F107" i="18"/>
  <c r="J107" i="18"/>
  <c r="D46" i="72" a="1"/>
  <c r="D46" i="72" s="1"/>
  <c r="J103" i="18"/>
  <c r="F103" i="18"/>
  <c r="F358" i="18"/>
  <c r="J358" i="18"/>
  <c r="V21" i="74"/>
  <c r="R21" i="74"/>
  <c r="F142" i="18"/>
  <c r="J142" i="18"/>
  <c r="J355" i="18"/>
  <c r="F355" i="18"/>
  <c r="F143" i="18"/>
  <c r="J143" i="18"/>
  <c r="Z117" i="74"/>
  <c r="AA117" i="74"/>
  <c r="P117" i="74"/>
  <c r="J152" i="18"/>
  <c r="F152" i="18"/>
  <c r="F404" i="18"/>
  <c r="J404" i="18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W71" i="74"/>
  <c r="Y71" i="74" s="1"/>
  <c r="V71" i="74"/>
  <c r="V9" i="66"/>
  <c r="R9" i="66"/>
  <c r="F362" i="18"/>
  <c r="J362" i="18"/>
  <c r="D14" i="72" a="1"/>
  <c r="D14" i="72" s="1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R119" i="74" l="1"/>
  <c r="S119" i="74" s="1"/>
  <c r="U119" i="74" s="1"/>
  <c r="V119" i="74"/>
  <c r="D233" i="72" a="1"/>
  <c r="D233" i="72" s="1"/>
  <c r="D234" i="72" s="1" a="1"/>
  <c r="D234" i="72" s="1"/>
  <c r="D235" i="72" s="1" a="1"/>
  <c r="D235" i="72" s="1"/>
  <c r="V117" i="74"/>
  <c r="W117" i="74"/>
  <c r="Y117" i="74" s="1"/>
  <c r="R117" i="74"/>
  <c r="S117" i="74" s="1"/>
  <c r="U117" i="74" s="1"/>
  <c r="D47" i="72" a="1"/>
  <c r="D47" i="72" s="1"/>
  <c r="V9" i="74"/>
  <c r="R9" i="74"/>
  <c r="D76" i="72" a="1"/>
  <c r="D76" i="72" s="1"/>
  <c r="D292" i="72" a="1"/>
  <c r="D292" i="72" s="1"/>
  <c r="D293" i="72" s="1" a="1"/>
  <c r="D293" i="72" s="1"/>
  <c r="D112" i="72" a="1"/>
  <c r="D112" i="72" s="1"/>
  <c r="D15" i="72" a="1"/>
  <c r="D15" i="72" s="1"/>
  <c r="D206" i="72" a="1"/>
  <c r="D206" i="72" s="1"/>
  <c r="D175" i="72" a="1"/>
  <c r="D175" i="72" s="1"/>
  <c r="D268" i="72" a="1"/>
  <c r="D268" i="72" s="1"/>
  <c r="D144" i="72" a="1"/>
  <c r="D144" i="72" s="1"/>
  <c r="D236" i="72" l="1" a="1"/>
  <c r="D236" i="72" s="1"/>
  <c r="D237" i="72" s="1" a="1"/>
  <c r="D237" i="72" s="1"/>
  <c r="D238" i="72" s="1" a="1"/>
  <c r="D238" i="72" s="1"/>
  <c r="D16" i="72" a="1"/>
  <c r="D16" i="72" s="1"/>
  <c r="D48" i="72" a="1"/>
  <c r="D48" i="72" s="1"/>
  <c r="D294" i="72" a="1"/>
  <c r="D294" i="72" s="1"/>
  <c r="D295" i="72" s="1" a="1"/>
  <c r="D295" i="72" s="1"/>
  <c r="D77" i="72" a="1"/>
  <c r="D77" i="72" s="1"/>
  <c r="D78" i="72" s="1" a="1"/>
  <c r="D78" i="72" s="1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s="1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H184" i="58"/>
  <c r="H184" i="37"/>
  <c r="H183" i="41" l="1"/>
  <c r="I410" i="37"/>
  <c r="I410" i="58"/>
  <c r="H370" i="58"/>
  <c r="H370" i="37"/>
  <c r="H377" i="58"/>
  <c r="H377" i="37"/>
  <c r="J373" i="58"/>
  <c r="J373" i="37"/>
  <c r="J376" i="58"/>
  <c r="J376" i="37"/>
  <c r="H410" i="58"/>
  <c r="H410" i="37"/>
  <c r="H284" i="58"/>
  <c r="H284" i="37"/>
  <c r="H394" i="58"/>
  <c r="H394" i="37"/>
  <c r="H236" i="58"/>
  <c r="H236" i="37"/>
  <c r="I409" i="37"/>
  <c r="I409" i="58"/>
  <c r="H254" i="58"/>
  <c r="H254" i="37"/>
  <c r="J394" i="58"/>
  <c r="J394" i="37"/>
  <c r="H320" i="58"/>
  <c r="H32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H374" i="58"/>
  <c r="H374" i="37"/>
  <c r="I374" i="37"/>
  <c r="I374" i="58"/>
  <c r="J413" i="58"/>
  <c r="J413" i="37"/>
  <c r="I412" i="37"/>
  <c r="I412" i="58"/>
  <c r="I308" i="58"/>
  <c r="I308" i="37"/>
  <c r="J404" i="58"/>
  <c r="J404" i="37"/>
  <c r="I395" i="37"/>
  <c r="I395" i="58"/>
  <c r="H269" i="58"/>
  <c r="H269" i="37"/>
  <c r="J236" i="37"/>
  <c r="J236" i="58"/>
  <c r="I363" i="37"/>
  <c r="I363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344" i="41"/>
  <c r="J376" i="41"/>
  <c r="J413" i="41"/>
  <c r="H344" i="41"/>
  <c r="H422" i="41"/>
  <c r="I374" i="41"/>
  <c r="I382" i="41"/>
  <c r="H25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I363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H308" i="58"/>
  <c r="H308" i="37"/>
  <c r="J320" i="58"/>
  <c r="J320" i="37"/>
  <c r="H409" i="58"/>
  <c r="H409" i="37"/>
  <c r="I340" i="58"/>
  <c r="I340" i="37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H146" i="58"/>
  <c r="H146" i="37"/>
  <c r="H172" i="58"/>
  <c r="H172" i="37"/>
  <c r="I162" i="58"/>
  <c r="I162" i="37"/>
  <c r="I235" i="58"/>
  <c r="I235" i="37"/>
  <c r="J178" i="58"/>
  <c r="J178" i="37"/>
  <c r="H208" i="58"/>
  <c r="H208" i="37"/>
  <c r="I204" i="37"/>
  <c r="I204" i="58"/>
  <c r="J206" i="58"/>
  <c r="J206" i="37"/>
  <c r="I281" i="37"/>
  <c r="I281" i="58"/>
  <c r="I343" i="58"/>
  <c r="I343" i="37"/>
  <c r="H163" i="58"/>
  <c r="H163" i="37"/>
  <c r="I261" i="37"/>
  <c r="I261" i="58"/>
  <c r="I179" i="37"/>
  <c r="I179" i="58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164" i="58"/>
  <c r="I164" i="37"/>
  <c r="I243" i="58"/>
  <c r="I243" i="37"/>
  <c r="J180" i="58"/>
  <c r="J180" i="37"/>
  <c r="H210" i="58"/>
  <c r="H210" i="37"/>
  <c r="I301" i="37"/>
  <c r="I301" i="58"/>
  <c r="I206" i="37"/>
  <c r="I206" i="58"/>
  <c r="I291" i="58"/>
  <c r="I291" i="37"/>
  <c r="H141" i="58"/>
  <c r="H141" i="37"/>
  <c r="H165" i="58"/>
  <c r="H165" i="37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H229" i="58"/>
  <c r="H229" i="37"/>
  <c r="H255" i="58"/>
  <c r="H255" i="37"/>
  <c r="H291" i="58"/>
  <c r="H291" i="37"/>
  <c r="H325" i="58"/>
  <c r="H325" i="37"/>
  <c r="H357" i="58"/>
  <c r="H357" i="37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H391" i="58"/>
  <c r="H391" i="37"/>
  <c r="J386" i="37"/>
  <c r="J386" i="58"/>
  <c r="H314" i="58"/>
  <c r="H314" i="37"/>
  <c r="J257" i="58"/>
  <c r="J257" i="37"/>
  <c r="J197" i="37"/>
  <c r="J197" i="58"/>
  <c r="J221" i="58"/>
  <c r="J221" i="37"/>
  <c r="H150" i="58"/>
  <c r="H150" i="37"/>
  <c r="H176" i="58"/>
  <c r="H176" i="37"/>
  <c r="I263" i="37"/>
  <c r="I263" i="58"/>
  <c r="J158" i="37"/>
  <c r="J158" i="58"/>
  <c r="J182" i="37"/>
  <c r="J182" i="58"/>
  <c r="H212" i="58"/>
  <c r="H212" i="37"/>
  <c r="I325" i="58"/>
  <c r="I325" i="37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32" i="58"/>
  <c r="I332" i="37"/>
  <c r="H240" i="58"/>
  <c r="H240" i="37"/>
  <c r="I368" i="37"/>
  <c r="I368" i="58"/>
  <c r="H275" i="58"/>
  <c r="H275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229" i="37"/>
  <c r="I229" i="58"/>
  <c r="H152" i="58"/>
  <c r="H152" i="37"/>
  <c r="H178" i="58"/>
  <c r="H178" i="37"/>
  <c r="I168" i="58"/>
  <c r="I168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161" i="58"/>
  <c r="I161" i="37"/>
  <c r="I223" i="37"/>
  <c r="I223" i="58"/>
  <c r="J149" i="58"/>
  <c r="J149" i="37"/>
  <c r="J173" i="58"/>
  <c r="J173" i="37"/>
  <c r="H203" i="58"/>
  <c r="H203" i="37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H242" i="58"/>
  <c r="H242" i="37"/>
  <c r="H280" i="58"/>
  <c r="H280" i="37"/>
  <c r="H316" i="58"/>
  <c r="H31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H389" i="58"/>
  <c r="H389" i="37"/>
  <c r="H406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J201" i="37"/>
  <c r="J201" i="58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214" i="58"/>
  <c r="J214" i="37"/>
  <c r="H147" i="58"/>
  <c r="H147" i="37"/>
  <c r="H171" i="58"/>
  <c r="H171" i="37"/>
  <c r="I163" i="58"/>
  <c r="I163" i="37"/>
  <c r="I231" i="37"/>
  <c r="I231" i="58"/>
  <c r="J151" i="58"/>
  <c r="J151" i="37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H317" i="41"/>
  <c r="J244" i="41"/>
  <c r="I254" i="37"/>
  <c r="I254" i="58"/>
  <c r="H324" i="58"/>
  <c r="H324" i="37"/>
  <c r="H272" i="58"/>
  <c r="H272" i="37"/>
  <c r="J391" i="58"/>
  <c r="J391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275" i="58"/>
  <c r="J275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J164" i="58"/>
  <c r="J164" i="37"/>
  <c r="H194" i="58"/>
  <c r="H194" i="37"/>
  <c r="H218" i="58"/>
  <c r="H218" i="37"/>
  <c r="I214" i="58"/>
  <c r="I214" i="37"/>
  <c r="J192" i="58"/>
  <c r="J192" i="37"/>
  <c r="H149" i="58"/>
  <c r="H149" i="37"/>
  <c r="H173" i="58"/>
  <c r="H173" i="37"/>
  <c r="J177" i="58"/>
  <c r="J177" i="37"/>
  <c r="H207" i="58"/>
  <c r="H207" i="37"/>
  <c r="I289" i="58"/>
  <c r="I289" i="37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H369" i="58"/>
  <c r="H369" i="37"/>
  <c r="J281" i="58"/>
  <c r="J281" i="37"/>
  <c r="J284" i="58"/>
  <c r="J284" i="37"/>
  <c r="J383" i="58"/>
  <c r="J383" i="37"/>
  <c r="H188" i="58"/>
  <c r="H188" i="37"/>
  <c r="I391" i="37"/>
  <c r="I391" i="58"/>
  <c r="J419" i="58"/>
  <c r="J419" i="37"/>
  <c r="J343" i="58"/>
  <c r="J343" i="37"/>
  <c r="H232" i="58"/>
  <c r="H232" i="37"/>
  <c r="I284" i="37"/>
  <c r="I284" i="58"/>
  <c r="I331" i="58"/>
  <c r="I331" i="37"/>
  <c r="J205" i="37"/>
  <c r="J205" i="58"/>
  <c r="H158" i="58"/>
  <c r="H158" i="37"/>
  <c r="I224" i="37"/>
  <c r="I224" i="58"/>
  <c r="I150" i="37"/>
  <c r="I150" i="58"/>
  <c r="H196" i="58"/>
  <c r="H196" i="37"/>
  <c r="H220" i="58"/>
  <c r="H220" i="37"/>
  <c r="I192" i="37"/>
  <c r="I192" i="58"/>
  <c r="J194" i="58"/>
  <c r="J194" i="37"/>
  <c r="J233" i="58"/>
  <c r="J233" i="37"/>
  <c r="H151" i="58"/>
  <c r="H151" i="37"/>
  <c r="H175" i="58"/>
  <c r="H175" i="37"/>
  <c r="J179" i="58"/>
  <c r="J179" i="37"/>
  <c r="H209" i="58"/>
  <c r="H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H252" i="58"/>
  <c r="H252" i="37"/>
  <c r="H288" i="58"/>
  <c r="H288" i="37"/>
  <c r="H326" i="58"/>
  <c r="H32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I293" i="58"/>
  <c r="I293" i="37"/>
  <c r="H162" i="58"/>
  <c r="H162" i="37"/>
  <c r="I232" i="58"/>
  <c r="I232" i="37"/>
  <c r="I152" i="37"/>
  <c r="I152" i="58"/>
  <c r="J168" i="58"/>
  <c r="J168" i="37"/>
  <c r="H198" i="58"/>
  <c r="H198" i="37"/>
  <c r="I222" i="37"/>
  <c r="I222" i="58"/>
  <c r="I194" i="58"/>
  <c r="I194" i="37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H241" i="58"/>
  <c r="H241" i="37"/>
  <c r="H273" i="58"/>
  <c r="H273" i="37"/>
  <c r="H309" i="58"/>
  <c r="H309" i="37"/>
  <c r="H337" i="58"/>
  <c r="H337" i="37"/>
  <c r="J327" i="37"/>
  <c r="J327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J363" i="58"/>
  <c r="J363" i="37"/>
  <c r="H296" i="58"/>
  <c r="H296" i="37"/>
  <c r="J352" i="58"/>
  <c r="J352" i="37"/>
  <c r="I344" i="58"/>
  <c r="I344" i="37"/>
  <c r="H266" i="58"/>
  <c r="H266" i="37"/>
  <c r="I386" i="58"/>
  <c r="I386" i="37"/>
  <c r="H352" i="58"/>
  <c r="H352" i="37"/>
  <c r="H407" i="58"/>
  <c r="H407" i="37"/>
  <c r="I355" i="37"/>
  <c r="I355" i="58"/>
  <c r="I317" i="58"/>
  <c r="I317" i="37"/>
  <c r="H164" i="58"/>
  <c r="H164" i="37"/>
  <c r="I178" i="37"/>
  <c r="I178" i="58"/>
  <c r="J146" i="58"/>
  <c r="J146" i="37"/>
  <c r="J170" i="37"/>
  <c r="J170" i="58"/>
  <c r="H200" i="58"/>
  <c r="H200" i="37"/>
  <c r="I196" i="37"/>
  <c r="I196" i="58"/>
  <c r="I220" i="58"/>
  <c r="I220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H387" i="58"/>
  <c r="H387" i="37"/>
  <c r="H336" i="58"/>
  <c r="H336" i="37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180" i="37"/>
  <c r="I180" i="58"/>
  <c r="J148" i="37"/>
  <c r="J148" i="58"/>
  <c r="J172" i="37"/>
  <c r="J172" i="58"/>
  <c r="H202" i="58"/>
  <c r="H202" i="37"/>
  <c r="J235" i="58"/>
  <c r="J235" i="37"/>
  <c r="J222" i="58"/>
  <c r="J222" i="37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J161" i="37"/>
  <c r="J161" i="58"/>
  <c r="H191" i="58"/>
  <c r="H191" i="37"/>
  <c r="H215" i="58"/>
  <c r="H215" i="37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H204" i="58"/>
  <c r="H204" i="37"/>
  <c r="J243" i="37"/>
  <c r="J243" i="58"/>
  <c r="I230" i="37"/>
  <c r="I230" i="58"/>
  <c r="J202" i="37"/>
  <c r="J202" i="58"/>
  <c r="I241" i="58"/>
  <c r="I241" i="37"/>
  <c r="H159" i="58"/>
  <c r="H159" i="37"/>
  <c r="I151" i="37"/>
  <c r="I151" i="58"/>
  <c r="J163" i="37"/>
  <c r="J163" i="58"/>
  <c r="H193" i="58"/>
  <c r="H193" i="37"/>
  <c r="H217" i="58"/>
  <c r="H217" i="37"/>
  <c r="I193" i="58"/>
  <c r="I193" i="37"/>
  <c r="H223" i="58"/>
  <c r="H223" i="37"/>
  <c r="H247" i="58"/>
  <c r="H247" i="37"/>
  <c r="H283" i="58"/>
  <c r="H283" i="37"/>
  <c r="H319" i="58"/>
  <c r="H319" i="37"/>
  <c r="H345" i="58"/>
  <c r="H345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H299" i="58"/>
  <c r="H299" i="37"/>
  <c r="J367" i="58"/>
  <c r="J367" i="37"/>
  <c r="H371" i="58"/>
  <c r="H371" i="37"/>
  <c r="J266" i="37"/>
  <c r="J266" i="58"/>
  <c r="J215" i="37"/>
  <c r="J215" i="58"/>
  <c r="H144" i="58"/>
  <c r="H144" i="37"/>
  <c r="H170" i="58"/>
  <c r="H170" i="37"/>
  <c r="I297" i="58"/>
  <c r="I297" i="37"/>
  <c r="I160" i="37"/>
  <c r="I160" i="58"/>
  <c r="J152" i="58"/>
  <c r="J152" i="37"/>
  <c r="H206" i="58"/>
  <c r="H206" i="37"/>
  <c r="I253" i="58"/>
  <c r="I253" i="37"/>
  <c r="I202" i="58"/>
  <c r="I202" i="37"/>
  <c r="J204" i="58"/>
  <c r="J204" i="37"/>
  <c r="I257" i="37"/>
  <c r="I257" i="58"/>
  <c r="I319" i="37"/>
  <c r="I319" i="58"/>
  <c r="H161" i="58"/>
  <c r="H161" i="37"/>
  <c r="I236" i="58"/>
  <c r="I236" i="37"/>
  <c r="I177" i="58"/>
  <c r="I177" i="37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H405" i="58"/>
  <c r="H405" i="37"/>
  <c r="H385" i="58"/>
  <c r="H385" i="37"/>
  <c r="J248" i="37"/>
  <c r="J248" i="58"/>
  <c r="J234" i="41" l="1"/>
  <c r="J375" i="41"/>
  <c r="H326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H288" i="41"/>
  <c r="H335" i="41"/>
  <c r="I331" i="41"/>
  <c r="J343" i="41"/>
  <c r="J284" i="41"/>
  <c r="H414" i="41"/>
  <c r="H237" i="41"/>
  <c r="J215" i="41"/>
  <c r="I362" i="41"/>
  <c r="J159" i="41"/>
  <c r="J288" i="41"/>
  <c r="I337" i="41"/>
  <c r="I145" i="41"/>
  <c r="J309" i="41"/>
  <c r="H194" i="41"/>
  <c r="H156" i="41"/>
  <c r="J316" i="41"/>
  <c r="H366" i="41"/>
  <c r="J301" i="41"/>
  <c r="I351" i="41"/>
  <c r="H271" i="41"/>
  <c r="J179" i="41"/>
  <c r="H151" i="41"/>
  <c r="H220" i="41"/>
  <c r="J318" i="41"/>
  <c r="H322" i="41"/>
  <c r="J192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49" i="41"/>
  <c r="I180" i="41"/>
  <c r="I364" i="41"/>
  <c r="I279" i="41"/>
  <c r="J246" i="41"/>
  <c r="I320" i="41"/>
  <c r="J418" i="41"/>
  <c r="J270" i="41"/>
  <c r="I233" i="41"/>
  <c r="I341" i="41"/>
  <c r="H383" i="41"/>
  <c r="H205" i="41"/>
  <c r="H171" i="41"/>
  <c r="H363" i="41"/>
  <c r="I361" i="41"/>
  <c r="I210" i="41"/>
  <c r="I384" i="41"/>
  <c r="H253" i="41"/>
  <c r="I343" i="41"/>
  <c r="H208" i="41"/>
  <c r="H172" i="41"/>
  <c r="I340" i="41"/>
  <c r="J377" i="41"/>
  <c r="I248" i="41"/>
  <c r="I368" i="41"/>
  <c r="I329" i="41"/>
  <c r="J182" i="41"/>
  <c r="I411" i="41"/>
  <c r="I197" i="41"/>
  <c r="H385" i="41"/>
  <c r="H378" i="41"/>
  <c r="J307" i="41"/>
  <c r="H299" i="41"/>
  <c r="J308" i="41"/>
  <c r="I342" i="41"/>
  <c r="H361" i="41"/>
  <c r="H277" i="41"/>
  <c r="H155" i="41"/>
  <c r="I386" i="41"/>
  <c r="H296" i="41"/>
  <c r="J326" i="41"/>
  <c r="H330" i="41"/>
  <c r="I211" i="41"/>
  <c r="H356" i="41"/>
  <c r="J283" i="41"/>
  <c r="J212" i="41"/>
  <c r="H360" i="41"/>
  <c r="J299" i="41"/>
  <c r="J224" i="41"/>
  <c r="H240" i="41"/>
  <c r="J417" i="41"/>
  <c r="J350" i="41"/>
  <c r="H354" i="41"/>
  <c r="J229" i="41"/>
  <c r="J361" i="41"/>
  <c r="J247" i="41"/>
  <c r="I339" i="41"/>
  <c r="J310" i="41"/>
  <c r="I263" i="41"/>
  <c r="J197" i="41"/>
  <c r="J410" i="41"/>
  <c r="H342" i="41"/>
  <c r="J213" i="41"/>
  <c r="I356" i="41"/>
  <c r="H338" i="41"/>
  <c r="I215" i="41"/>
  <c r="I173" i="41"/>
  <c r="J211" i="41"/>
  <c r="I328" i="41"/>
  <c r="H420" i="41"/>
  <c r="J325" i="41"/>
  <c r="H239" i="41"/>
  <c r="J233" i="41"/>
  <c r="H196" i="41"/>
  <c r="H158" i="41"/>
  <c r="J282" i="41"/>
  <c r="H286" i="41"/>
  <c r="H333" i="41"/>
  <c r="I289" i="41"/>
  <c r="I214" i="41"/>
  <c r="I172" i="41"/>
  <c r="I307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H318" i="41"/>
  <c r="I372" i="41"/>
  <c r="J163" i="41"/>
  <c r="I367" i="41"/>
  <c r="I366" i="41"/>
  <c r="J161" i="41"/>
  <c r="I192" i="41"/>
  <c r="I150" i="41"/>
  <c r="I284" i="41"/>
  <c r="I255" i="41"/>
  <c r="J245" i="41"/>
  <c r="I365" i="41"/>
  <c r="I265" i="41"/>
  <c r="J279" i="41"/>
  <c r="I234" i="41"/>
  <c r="H186" i="41"/>
  <c r="I280" i="41"/>
  <c r="H411" i="41"/>
  <c r="H270" i="41"/>
  <c r="H323" i="41"/>
  <c r="H221" i="41"/>
  <c r="I162" i="41"/>
  <c r="H290" i="41"/>
  <c r="I205" i="41"/>
  <c r="I163" i="41"/>
  <c r="I311" i="41"/>
  <c r="H281" i="41"/>
  <c r="H251" i="41"/>
  <c r="J339" i="41"/>
  <c r="H255" i="41"/>
  <c r="J169" i="41"/>
  <c r="H210" i="41"/>
  <c r="H174" i="41"/>
  <c r="I290" i="41"/>
  <c r="I310" i="41"/>
  <c r="H206" i="41"/>
  <c r="H170" i="41"/>
  <c r="J367" i="41"/>
  <c r="J256" i="41"/>
  <c r="H258" i="41"/>
  <c r="H313" i="41"/>
  <c r="H213" i="41"/>
  <c r="H179" i="41"/>
  <c r="J352" i="41"/>
  <c r="H403" i="41"/>
  <c r="H358" i="41"/>
  <c r="I275" i="41"/>
  <c r="J168" i="41"/>
  <c r="I170" i="41"/>
  <c r="J272" i="41"/>
  <c r="I373" i="41"/>
  <c r="H413" i="41"/>
  <c r="H357" i="41"/>
  <c r="I291" i="41"/>
  <c r="I243" i="41"/>
  <c r="J385" i="41"/>
  <c r="I281" i="41"/>
  <c r="J196" i="41"/>
  <c r="J210" i="41"/>
  <c r="J221" i="41"/>
  <c r="I270" i="41"/>
  <c r="J355" i="41"/>
  <c r="H180" i="41"/>
  <c r="I401" i="41"/>
  <c r="I266" i="41"/>
  <c r="J195" i="41"/>
  <c r="H415" i="41"/>
  <c r="H362" i="41"/>
  <c r="J297" i="41"/>
  <c r="I299" i="41"/>
  <c r="I317" i="41"/>
  <c r="H407" i="41"/>
  <c r="J363" i="41"/>
  <c r="H381" i="41"/>
  <c r="J252" i="41"/>
  <c r="H256" i="41"/>
  <c r="H309" i="41"/>
  <c r="H211" i="41"/>
  <c r="H177" i="41"/>
  <c r="I194" i="41"/>
  <c r="H280" i="41"/>
  <c r="H329" i="41"/>
  <c r="I168" i="41"/>
  <c r="H355" i="41"/>
  <c r="H276" i="41"/>
  <c r="H32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H384" i="41"/>
  <c r="H227" i="41"/>
  <c r="J178" i="41"/>
  <c r="H409" i="41"/>
  <c r="J262" i="41"/>
  <c r="I158" i="41"/>
  <c r="J351" i="41"/>
  <c r="J328" i="41"/>
  <c r="J248" i="41"/>
  <c r="I354" i="41"/>
  <c r="J292" i="41"/>
  <c r="I147" i="41"/>
  <c r="I178" i="41"/>
  <c r="I355" i="41"/>
  <c r="J263" i="41"/>
  <c r="J327" i="41"/>
  <c r="J157" i="41"/>
  <c r="I402" i="41"/>
  <c r="I318" i="41"/>
  <c r="J171" i="41"/>
  <c r="J411" i="41"/>
  <c r="J273" i="41"/>
  <c r="I179" i="41"/>
  <c r="I293" i="41"/>
  <c r="H396" i="41"/>
  <c r="I282" i="41"/>
  <c r="J315" i="41"/>
  <c r="I235" i="41"/>
  <c r="C35" i="63"/>
  <c r="I274" i="41"/>
  <c r="D42" i="57"/>
  <c r="G149" i="66"/>
  <c r="O149" i="66" s="1"/>
  <c r="I257" i="41"/>
  <c r="C34" i="63"/>
  <c r="H372" i="41"/>
  <c r="H223" i="41"/>
  <c r="I241" i="41"/>
  <c r="I20" i="66"/>
  <c r="E2" i="53"/>
  <c r="G20" i="66"/>
  <c r="I68" i="66"/>
  <c r="I116" i="66"/>
  <c r="H142" i="41"/>
  <c r="H416" i="41"/>
  <c r="D46" i="57"/>
  <c r="G169" i="66"/>
  <c r="O169" i="66" s="1"/>
  <c r="J381" i="41"/>
  <c r="I169" i="41"/>
  <c r="I242" i="41"/>
  <c r="I223" i="41"/>
  <c r="J160" i="41"/>
  <c r="I229" i="41"/>
  <c r="J354" i="41"/>
  <c r="I246" i="41"/>
  <c r="J158" i="41"/>
  <c r="J386" i="41"/>
  <c r="I261" i="41"/>
  <c r="I204" i="41"/>
  <c r="J332" i="41"/>
  <c r="H346" i="41"/>
  <c r="J271" i="41"/>
  <c r="I177" i="41"/>
  <c r="J204" i="41"/>
  <c r="J152" i="41"/>
  <c r="C26" i="63"/>
  <c r="I272" i="41"/>
  <c r="I164" i="66"/>
  <c r="I260" i="66"/>
  <c r="E8" i="53"/>
  <c r="I212" i="66"/>
  <c r="G164" i="66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224" i="41"/>
  <c r="J253" i="41"/>
  <c r="J203" i="41"/>
  <c r="I146" i="41"/>
  <c r="J395" i="41"/>
  <c r="H316" i="41"/>
  <c r="I203" i="41"/>
  <c r="I161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H347" i="41"/>
  <c r="C4" i="63"/>
  <c r="H144" i="41"/>
  <c r="C56" i="63"/>
  <c r="C55" i="63"/>
  <c r="J300" i="41"/>
  <c r="H304" i="41"/>
  <c r="H349" i="41"/>
  <c r="I195" i="41"/>
  <c r="I400" i="41"/>
  <c r="J399" i="41"/>
  <c r="J338" i="41"/>
  <c r="J202" i="41"/>
  <c r="J150" i="41"/>
  <c r="J393" i="41"/>
  <c r="J265" i="41"/>
  <c r="J148" i="41"/>
  <c r="C25" i="63"/>
  <c r="I302" i="41"/>
  <c r="C46" i="63"/>
  <c r="I404" i="41"/>
  <c r="I391" i="41"/>
  <c r="I254" i="41"/>
  <c r="I408" i="41"/>
  <c r="I326" i="41"/>
  <c r="I385" i="41"/>
  <c r="G5" i="66"/>
  <c r="D3" i="57"/>
  <c r="H225" i="41"/>
  <c r="J298" i="41"/>
  <c r="H300" i="41"/>
  <c r="D12" i="57"/>
  <c r="H345" i="41"/>
  <c r="G14" i="66"/>
  <c r="I193" i="41"/>
  <c r="I182" i="41"/>
  <c r="I418" i="41"/>
  <c r="H298" i="41"/>
  <c r="H341" i="41"/>
  <c r="J222" i="41"/>
  <c r="H187" i="41"/>
  <c r="I264" i="41"/>
  <c r="I327" i="41"/>
  <c r="J170" i="41"/>
  <c r="I152" i="41"/>
  <c r="C16" i="63"/>
  <c r="J291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H408" i="41"/>
  <c r="I288" i="41"/>
  <c r="H235" i="41"/>
  <c r="J151" i="41"/>
  <c r="H192" i="41"/>
  <c r="H154" i="41"/>
  <c r="H368" i="41"/>
  <c r="I352" i="41"/>
  <c r="J274" i="41"/>
  <c r="J231" i="41"/>
  <c r="I309" i="41"/>
  <c r="H417" i="41"/>
  <c r="H274" i="41"/>
  <c r="H325" i="41"/>
  <c r="J223" i="41"/>
  <c r="I164" i="41"/>
  <c r="I283" i="41"/>
  <c r="H348" i="41"/>
  <c r="J337" i="41"/>
  <c r="J356" i="41"/>
  <c r="D51" i="57"/>
  <c r="G158" i="66"/>
  <c r="O158" i="66" s="1"/>
  <c r="D52" i="57"/>
  <c r="G168" i="66"/>
  <c r="O168" i="66" s="1"/>
  <c r="G174" i="66"/>
  <c r="D48" i="57"/>
  <c r="D44" i="57"/>
  <c r="G161" i="66"/>
  <c r="I148" i="41"/>
  <c r="C15" i="63"/>
  <c r="J420" i="41"/>
  <c r="H242" i="41"/>
  <c r="H297" i="41"/>
  <c r="H203" i="41"/>
  <c r="H169" i="41"/>
  <c r="I349" i="41"/>
  <c r="H373" i="41"/>
  <c r="H224" i="41"/>
  <c r="H275" i="41"/>
  <c r="H238" i="41"/>
  <c r="H295" i="41"/>
  <c r="H201" i="41"/>
  <c r="H167" i="41"/>
  <c r="I325" i="41"/>
  <c r="J257" i="41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J412" i="41"/>
  <c r="H393" i="41"/>
  <c r="H262" i="41"/>
  <c r="H315" i="41"/>
  <c r="H215" i="41"/>
  <c r="H181" i="41"/>
  <c r="J330" i="41"/>
  <c r="J261" i="41"/>
  <c r="I338" i="41"/>
  <c r="I222" i="41"/>
  <c r="H267" i="41"/>
  <c r="G15" i="66"/>
  <c r="D10" i="57"/>
  <c r="D6" i="57"/>
  <c r="G19" i="66"/>
  <c r="H165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H294" i="41"/>
  <c r="H339" i="41"/>
  <c r="I220" i="41"/>
  <c r="I344" i="41"/>
  <c r="I298" i="41"/>
  <c r="H241" i="41"/>
  <c r="J241" i="41"/>
  <c r="H198" i="41"/>
  <c r="H162" i="41"/>
  <c r="I419" i="41"/>
  <c r="J255" i="41"/>
  <c r="J205" i="41"/>
  <c r="I330" i="41"/>
  <c r="J353" i="41"/>
  <c r="D49" i="57"/>
  <c r="G159" i="66"/>
  <c r="O159" i="66" s="1"/>
  <c r="J421" i="41"/>
  <c r="I252" i="41"/>
  <c r="I231" i="41"/>
  <c r="J162" i="41"/>
  <c r="J317" i="41"/>
  <c r="H389" i="41"/>
  <c r="H261" i="41"/>
  <c r="J173" i="41"/>
  <c r="H145" i="41"/>
  <c r="H214" i="41"/>
  <c r="H178" i="41"/>
  <c r="J374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H350" i="41"/>
  <c r="I221" i="41"/>
  <c r="J206" i="41"/>
  <c r="J340" i="41"/>
  <c r="J320" i="41"/>
  <c r="J368" i="41"/>
  <c r="G26" i="66"/>
  <c r="H141" i="41"/>
  <c r="D2" i="57"/>
  <c r="G42" i="66"/>
  <c r="D8" i="57"/>
  <c r="H249" i="41"/>
  <c r="M3" i="37"/>
  <c r="J390" i="41"/>
  <c r="J243" i="41"/>
  <c r="I273" i="41"/>
  <c r="J384" i="41"/>
  <c r="G35" i="66"/>
  <c r="D14" i="57"/>
  <c r="H387" i="41"/>
  <c r="E4" i="53"/>
  <c r="F4" i="53" s="1"/>
  <c r="I292" i="41"/>
  <c r="J232" i="41"/>
  <c r="J365" i="41"/>
  <c r="J201" i="41"/>
  <c r="J311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H306" i="41"/>
  <c r="H353" i="41"/>
  <c r="J193" i="41"/>
  <c r="I376" i="41"/>
  <c r="H308" i="41"/>
  <c r="H418" i="41"/>
  <c r="G178" i="66"/>
  <c r="O178" i="66" s="1"/>
  <c r="D50" i="57"/>
  <c r="D47" i="57"/>
  <c r="G186" i="66"/>
  <c r="M3" i="58"/>
  <c r="I319" i="41"/>
  <c r="I403" i="41"/>
  <c r="I306" i="41"/>
  <c r="H247" i="41"/>
  <c r="H204" i="41"/>
  <c r="H168" i="41"/>
  <c r="H248" i="41"/>
  <c r="J331" i="41"/>
  <c r="H245" i="41"/>
  <c r="I271" i="41"/>
  <c r="H202" i="41"/>
  <c r="H166" i="41"/>
  <c r="H367" i="41"/>
  <c r="E10" i="53"/>
  <c r="F10" i="53" s="1"/>
  <c r="H4" i="53" s="1"/>
  <c r="D53" i="57"/>
  <c r="G179" i="66"/>
  <c r="I196" i="41"/>
  <c r="I262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J164" i="41"/>
  <c r="J403" i="41"/>
  <c r="H272" i="41"/>
  <c r="J280" i="41"/>
  <c r="H282" i="41"/>
  <c r="H331" i="41"/>
  <c r="I212" i="41"/>
  <c r="H311" i="41"/>
  <c r="H412" i="41"/>
  <c r="C36" i="63"/>
  <c r="H332" i="41"/>
  <c r="H390" i="41"/>
  <c r="H229" i="41"/>
  <c r="J145" i="41"/>
  <c r="J180" i="41"/>
  <c r="H148" i="41"/>
  <c r="C5" i="63"/>
  <c r="H244" i="41"/>
  <c r="M7" i="41" l="1"/>
  <c r="K49" i="39"/>
  <c r="E147" i="38" s="1"/>
  <c r="K48" i="39"/>
  <c r="E146" i="38" s="1"/>
  <c r="K170" i="66" s="1"/>
  <c r="O170" i="66" s="1"/>
  <c r="E401" i="38"/>
  <c r="H496" i="58" s="1"/>
  <c r="C51" i="39"/>
  <c r="E98" i="38" s="1"/>
  <c r="K42" i="66" s="1"/>
  <c r="O42" i="66" s="1"/>
  <c r="C50" i="39"/>
  <c r="E97" i="38" s="1"/>
  <c r="K30" i="66" s="1"/>
  <c r="O30" i="66" s="1"/>
  <c r="C47" i="39"/>
  <c r="E94" i="38" s="1"/>
  <c r="H455" i="37" s="1"/>
  <c r="C48" i="39"/>
  <c r="E95" i="38" s="1"/>
  <c r="H456" i="37" s="1"/>
  <c r="H10" i="53"/>
  <c r="G10" i="53" s="1"/>
  <c r="G4" i="53"/>
  <c r="I68" i="74"/>
  <c r="G26" i="74"/>
  <c r="O183" i="66"/>
  <c r="G20" i="74"/>
  <c r="G34" i="74"/>
  <c r="O34" i="66"/>
  <c r="K50" i="39"/>
  <c r="E148" i="38" s="1"/>
  <c r="O8" i="41"/>
  <c r="G35" i="74"/>
  <c r="I20" i="74"/>
  <c r="K51" i="39"/>
  <c r="E149" i="38" s="1"/>
  <c r="O19" i="66"/>
  <c r="G19" i="74"/>
  <c r="G15" i="74"/>
  <c r="O15" i="66"/>
  <c r="G185" i="66"/>
  <c r="E9" i="53"/>
  <c r="F9" i="53" s="1"/>
  <c r="H3" i="53" s="1"/>
  <c r="G30" i="74"/>
  <c r="G5" i="74"/>
  <c r="O5" i="66"/>
  <c r="M8" i="41"/>
  <c r="H493" i="41"/>
  <c r="G40" i="66"/>
  <c r="K47" i="39"/>
  <c r="E145" i="38" s="1"/>
  <c r="O9" i="41"/>
  <c r="M9" i="41"/>
  <c r="G25" i="74"/>
  <c r="O25" i="66"/>
  <c r="N39" i="74"/>
  <c r="G42" i="74"/>
  <c r="G24" i="74"/>
  <c r="O24" i="66"/>
  <c r="G14" i="74"/>
  <c r="O14" i="66"/>
  <c r="E3" i="53"/>
  <c r="F3" i="53" s="1"/>
  <c r="G41" i="66"/>
  <c r="H494" i="41"/>
  <c r="C49" i="39"/>
  <c r="E96" i="38" s="1"/>
  <c r="O39" i="66"/>
  <c r="G39" i="74"/>
  <c r="H457" i="58"/>
  <c r="K161" i="66"/>
  <c r="E398" i="38"/>
  <c r="G17" i="74"/>
  <c r="I116" i="74"/>
  <c r="C23" i="34" l="1"/>
  <c r="C24" i="34" s="1"/>
  <c r="H456" i="58"/>
  <c r="H456" i="41" s="1"/>
  <c r="H464" i="37"/>
  <c r="H497" i="58"/>
  <c r="E410" i="38" s="1"/>
  <c r="H495" i="58"/>
  <c r="C41" i="63" s="1"/>
  <c r="K26" i="66"/>
  <c r="O26" i="66" s="1"/>
  <c r="Z170" i="66" s="1"/>
  <c r="H465" i="37"/>
  <c r="K20" i="66"/>
  <c r="T20" i="66" s="1"/>
  <c r="G41" i="74"/>
  <c r="G3" i="53"/>
  <c r="H9" i="53"/>
  <c r="G9" i="53" s="1"/>
  <c r="G40" i="74"/>
  <c r="O40" i="66"/>
  <c r="S42" i="66"/>
  <c r="T42" i="66"/>
  <c r="Q42" i="66"/>
  <c r="W42" i="66" s="1"/>
  <c r="X42" i="66"/>
  <c r="X161" i="66"/>
  <c r="Q161" i="66"/>
  <c r="W161" i="66" s="1"/>
  <c r="T161" i="66"/>
  <c r="S161" i="66"/>
  <c r="AA158" i="66"/>
  <c r="AA14" i="66"/>
  <c r="Z14" i="66"/>
  <c r="Z158" i="66"/>
  <c r="AA15" i="66"/>
  <c r="Z15" i="66"/>
  <c r="AA159" i="66"/>
  <c r="Z159" i="66"/>
  <c r="Z34" i="66"/>
  <c r="Z178" i="66"/>
  <c r="AA34" i="66"/>
  <c r="AA178" i="66"/>
  <c r="E411" i="38"/>
  <c r="G181" i="66"/>
  <c r="AC15" i="74"/>
  <c r="O15" i="74"/>
  <c r="AC34" i="74"/>
  <c r="O34" i="74"/>
  <c r="O14" i="74"/>
  <c r="AC14" i="74"/>
  <c r="Z24" i="66"/>
  <c r="AA168" i="66"/>
  <c r="Z168" i="66"/>
  <c r="AA24" i="66"/>
  <c r="O19" i="74"/>
  <c r="AC19" i="74"/>
  <c r="H497" i="37"/>
  <c r="H495" i="37"/>
  <c r="H496" i="37"/>
  <c r="AC24" i="74"/>
  <c r="O24" i="74"/>
  <c r="Z19" i="66"/>
  <c r="AA163" i="66"/>
  <c r="Z163" i="66"/>
  <c r="AA19" i="66"/>
  <c r="T30" i="66"/>
  <c r="S30" i="66"/>
  <c r="Q30" i="66"/>
  <c r="W30" i="66" s="1"/>
  <c r="X30" i="66"/>
  <c r="K17" i="66"/>
  <c r="H457" i="37"/>
  <c r="H457" i="41" s="1"/>
  <c r="Q170" i="66"/>
  <c r="W170" i="66" s="1"/>
  <c r="X170" i="66"/>
  <c r="T170" i="66"/>
  <c r="S170" i="66"/>
  <c r="H455" i="58"/>
  <c r="H455" i="41" s="1"/>
  <c r="K164" i="66"/>
  <c r="D8" i="53"/>
  <c r="F8" i="53" s="1"/>
  <c r="H2" i="53" s="1"/>
  <c r="Z39" i="66"/>
  <c r="Z183" i="66"/>
  <c r="AA183" i="66"/>
  <c r="AA39" i="66"/>
  <c r="Z149" i="66"/>
  <c r="AA5" i="66"/>
  <c r="H5" i="6"/>
  <c r="Z5" i="66"/>
  <c r="AA149" i="66"/>
  <c r="T26" i="66"/>
  <c r="O5" i="74"/>
  <c r="AC5" i="74"/>
  <c r="K186" i="66"/>
  <c r="K42" i="74" s="1"/>
  <c r="H465" i="58"/>
  <c r="O161" i="66"/>
  <c r="K174" i="66"/>
  <c r="H464" i="58"/>
  <c r="E286" i="38"/>
  <c r="E280" i="38"/>
  <c r="D2" i="53"/>
  <c r="F2" i="53" s="1"/>
  <c r="AC39" i="74"/>
  <c r="O39" i="74"/>
  <c r="E298" i="38"/>
  <c r="N179" i="66" s="1"/>
  <c r="E292" i="38"/>
  <c r="AA25" i="66"/>
  <c r="Z25" i="66"/>
  <c r="AA169" i="66"/>
  <c r="Z169" i="66"/>
  <c r="AC25" i="74"/>
  <c r="O25" i="74"/>
  <c r="AE39" i="74" l="1"/>
  <c r="AG39" i="74"/>
  <c r="AE14" i="74"/>
  <c r="AF14" i="74" s="1"/>
  <c r="AG14" i="74"/>
  <c r="AE24" i="74"/>
  <c r="AF24" i="74" s="1"/>
  <c r="AG24" i="74"/>
  <c r="AE34" i="74"/>
  <c r="AG34" i="74"/>
  <c r="AE25" i="74"/>
  <c r="AG25" i="74"/>
  <c r="I30" i="77" s="1"/>
  <c r="K30" i="77" s="1"/>
  <c r="AE15" i="74"/>
  <c r="AF15" i="74" s="1"/>
  <c r="C25" i="77" s="1"/>
  <c r="AG15" i="74"/>
  <c r="I25" i="77" s="1"/>
  <c r="K25" i="77" s="1"/>
  <c r="AE19" i="74"/>
  <c r="AF19" i="74" s="1"/>
  <c r="C27" i="77" s="1"/>
  <c r="AG19" i="74"/>
  <c r="I27" i="77" s="1"/>
  <c r="K27" i="77" s="1"/>
  <c r="AE5" i="74"/>
  <c r="AF5" i="74" s="1"/>
  <c r="C23" i="77" s="1"/>
  <c r="AG5" i="74"/>
  <c r="I23" i="77" s="1"/>
  <c r="K23" i="77" s="1"/>
  <c r="X20" i="66"/>
  <c r="S26" i="66"/>
  <c r="U26" i="66" s="1"/>
  <c r="X26" i="66"/>
  <c r="P170" i="66"/>
  <c r="R170" i="66" s="1"/>
  <c r="K26" i="74"/>
  <c r="S26" i="74" s="1"/>
  <c r="Q26" i="66"/>
  <c r="W26" i="66" s="1"/>
  <c r="H464" i="41"/>
  <c r="AA26" i="66"/>
  <c r="G180" i="66"/>
  <c r="H465" i="41"/>
  <c r="K20" i="74"/>
  <c r="X20" i="74" s="1"/>
  <c r="P26" i="66"/>
  <c r="R26" i="66" s="1"/>
  <c r="AA170" i="66"/>
  <c r="AD19" i="74"/>
  <c r="E27" i="77" s="1"/>
  <c r="AD15" i="74"/>
  <c r="E25" i="77" s="1"/>
  <c r="AD39" i="74"/>
  <c r="AF39" i="74"/>
  <c r="AD5" i="74"/>
  <c r="E23" i="77" s="1"/>
  <c r="AD24" i="74"/>
  <c r="AD25" i="74"/>
  <c r="E30" i="77" s="1"/>
  <c r="AF25" i="74"/>
  <c r="C30" i="77" s="1"/>
  <c r="AD14" i="74"/>
  <c r="AD34" i="74"/>
  <c r="AF34" i="74"/>
  <c r="Z26" i="66"/>
  <c r="U170" i="66"/>
  <c r="T42" i="74"/>
  <c r="Q42" i="74"/>
  <c r="W42" i="74" s="1"/>
  <c r="X42" i="74"/>
  <c r="S42" i="74"/>
  <c r="AC42" i="74"/>
  <c r="O42" i="74"/>
  <c r="AA39" i="74"/>
  <c r="Z39" i="74"/>
  <c r="C11" i="63"/>
  <c r="H495" i="41"/>
  <c r="C2" i="63"/>
  <c r="Y161" i="66"/>
  <c r="Y42" i="66"/>
  <c r="G36" i="66"/>
  <c r="E404" i="38"/>
  <c r="H497" i="41"/>
  <c r="AA19" i="74"/>
  <c r="Z19" i="74"/>
  <c r="AA15" i="74"/>
  <c r="Z15" i="74"/>
  <c r="G2" i="53"/>
  <c r="H8" i="53"/>
  <c r="G8" i="53" s="1"/>
  <c r="X174" i="66"/>
  <c r="T174" i="66"/>
  <c r="Q174" i="66"/>
  <c r="W174" i="66" s="1"/>
  <c r="S174" i="66"/>
  <c r="O174" i="66"/>
  <c r="Y30" i="66"/>
  <c r="U42" i="66"/>
  <c r="U30" i="66"/>
  <c r="X164" i="66"/>
  <c r="T164" i="66"/>
  <c r="T17" i="66"/>
  <c r="Q17" i="66"/>
  <c r="W17" i="66" s="1"/>
  <c r="X17" i="66"/>
  <c r="K17" i="74"/>
  <c r="S17" i="66"/>
  <c r="O17" i="66"/>
  <c r="K30" i="74"/>
  <c r="AA24" i="74"/>
  <c r="Z24" i="74"/>
  <c r="M180" i="66"/>
  <c r="H488" i="58"/>
  <c r="Q186" i="66"/>
  <c r="W186" i="66" s="1"/>
  <c r="X186" i="66"/>
  <c r="T186" i="66"/>
  <c r="S186" i="66"/>
  <c r="O186" i="66"/>
  <c r="AA14" i="74"/>
  <c r="Z14" i="74"/>
  <c r="H483" i="37"/>
  <c r="M35" i="66"/>
  <c r="T26" i="74"/>
  <c r="AC26" i="74"/>
  <c r="H487" i="58"/>
  <c r="M181" i="66"/>
  <c r="E291" i="38"/>
  <c r="E297" i="38"/>
  <c r="N185" i="66" s="1"/>
  <c r="AA25" i="74"/>
  <c r="Z25" i="74"/>
  <c r="B18" i="8"/>
  <c r="N35" i="66"/>
  <c r="N35" i="74" s="1"/>
  <c r="O26" i="74"/>
  <c r="E279" i="38"/>
  <c r="E285" i="38"/>
  <c r="Y170" i="66"/>
  <c r="AA34" i="74"/>
  <c r="Z34" i="74"/>
  <c r="Z40" i="66"/>
  <c r="AA184" i="66"/>
  <c r="Z184" i="66"/>
  <c r="AA40" i="66"/>
  <c r="H483" i="58"/>
  <c r="M179" i="66"/>
  <c r="AA5" i="74"/>
  <c r="Z5" i="74"/>
  <c r="U161" i="66"/>
  <c r="O40" i="74"/>
  <c r="AC40" i="74"/>
  <c r="G37" i="66"/>
  <c r="G37" i="74" s="1"/>
  <c r="E405" i="38"/>
  <c r="H496" i="41"/>
  <c r="Q26" i="74" l="1"/>
  <c r="W26" i="74" s="1"/>
  <c r="AE40" i="74"/>
  <c r="AG40" i="74"/>
  <c r="AE26" i="74"/>
  <c r="AF26" i="74" s="1"/>
  <c r="AG26" i="74"/>
  <c r="AE42" i="74"/>
  <c r="AF42" i="74" s="1"/>
  <c r="C34" i="77" s="1"/>
  <c r="AG42" i="74"/>
  <c r="I34" i="77" s="1"/>
  <c r="K34" i="77" s="1"/>
  <c r="X26" i="74"/>
  <c r="Y26" i="66"/>
  <c r="V170" i="66"/>
  <c r="V26" i="66"/>
  <c r="O180" i="66"/>
  <c r="T20" i="74"/>
  <c r="AD26" i="74"/>
  <c r="AD42" i="74"/>
  <c r="E34" i="77" s="1"/>
  <c r="AD40" i="74"/>
  <c r="AF40" i="74"/>
  <c r="U174" i="66"/>
  <c r="Y17" i="66"/>
  <c r="Y186" i="66"/>
  <c r="U42" i="74"/>
  <c r="Y174" i="66"/>
  <c r="H482" i="37"/>
  <c r="M41" i="66"/>
  <c r="U26" i="74"/>
  <c r="E290" i="38"/>
  <c r="E296" i="38"/>
  <c r="N164" i="66" s="1"/>
  <c r="H482" i="58"/>
  <c r="M185" i="66"/>
  <c r="E278" i="38"/>
  <c r="E284" i="38"/>
  <c r="H488" i="37"/>
  <c r="H488" i="41" s="1"/>
  <c r="M36" i="66"/>
  <c r="O36" i="66" s="1"/>
  <c r="O181" i="66"/>
  <c r="S181" i="66"/>
  <c r="U181" i="66" s="1"/>
  <c r="Q181" i="66"/>
  <c r="W181" i="66" s="1"/>
  <c r="Y181" i="66" s="1"/>
  <c r="G36" i="74"/>
  <c r="S179" i="66"/>
  <c r="U179" i="66" s="1"/>
  <c r="Q179" i="66"/>
  <c r="W179" i="66" s="1"/>
  <c r="Y179" i="66" s="1"/>
  <c r="O179" i="66"/>
  <c r="S180" i="66"/>
  <c r="U180" i="66" s="1"/>
  <c r="Q180" i="66"/>
  <c r="W180" i="66" s="1"/>
  <c r="Y180" i="66" s="1"/>
  <c r="AA26" i="74"/>
  <c r="Z26" i="74"/>
  <c r="P26" i="74"/>
  <c r="H487" i="37"/>
  <c r="H487" i="41" s="1"/>
  <c r="M37" i="66"/>
  <c r="M35" i="74"/>
  <c r="Q35" i="66"/>
  <c r="W35" i="66" s="1"/>
  <c r="Y35" i="66" s="1"/>
  <c r="S35" i="66"/>
  <c r="U35" i="66" s="1"/>
  <c r="O35" i="66"/>
  <c r="AA42" i="74"/>
  <c r="P42" i="74"/>
  <c r="Z42" i="74"/>
  <c r="AA40" i="74"/>
  <c r="Z40" i="74"/>
  <c r="H483" i="41"/>
  <c r="X30" i="74"/>
  <c r="T30" i="74"/>
  <c r="Q30" i="74"/>
  <c r="W30" i="74" s="1"/>
  <c r="S30" i="74"/>
  <c r="AC30" i="74"/>
  <c r="O30" i="74"/>
  <c r="P174" i="66"/>
  <c r="Z174" i="66"/>
  <c r="AA30" i="66"/>
  <c r="AA174" i="66"/>
  <c r="Z30" i="66"/>
  <c r="P30" i="66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U186" i="66"/>
  <c r="U17" i="66"/>
  <c r="X17" i="74"/>
  <c r="T17" i="74"/>
  <c r="Q17" i="74"/>
  <c r="W17" i="74" s="1"/>
  <c r="S17" i="74"/>
  <c r="O17" i="74"/>
  <c r="AC17" i="74"/>
  <c r="Y42" i="74"/>
  <c r="N41" i="66"/>
  <c r="N41" i="74" s="1"/>
  <c r="F17" i="8"/>
  <c r="Y26" i="74" l="1"/>
  <c r="AE17" i="74"/>
  <c r="AG17" i="74"/>
  <c r="I26" i="77" s="1"/>
  <c r="K26" i="77" s="1"/>
  <c r="AE30" i="74"/>
  <c r="AF30" i="74" s="1"/>
  <c r="C31" i="77" s="1"/>
  <c r="AG30" i="74"/>
  <c r="I31" i="77" s="1"/>
  <c r="K31" i="77" s="1"/>
  <c r="AD17" i="74"/>
  <c r="E26" i="77" s="1"/>
  <c r="C7" i="77"/>
  <c r="AD30" i="74"/>
  <c r="E31" i="77" s="1"/>
  <c r="U30" i="74"/>
  <c r="M36" i="74"/>
  <c r="O36" i="74" s="1"/>
  <c r="U17" i="74"/>
  <c r="H482" i="41"/>
  <c r="R174" i="66"/>
  <c r="V174" i="66"/>
  <c r="Z30" i="74"/>
  <c r="AA30" i="74"/>
  <c r="P30" i="74"/>
  <c r="P179" i="66"/>
  <c r="V42" i="66"/>
  <c r="R42" i="66"/>
  <c r="V42" i="74"/>
  <c r="R42" i="74"/>
  <c r="M164" i="66"/>
  <c r="H481" i="58"/>
  <c r="R186" i="66"/>
  <c r="V186" i="66"/>
  <c r="O37" i="66"/>
  <c r="P181" i="66" s="1"/>
  <c r="S37" i="66"/>
  <c r="U37" i="66" s="1"/>
  <c r="Q37" i="66"/>
  <c r="W37" i="66" s="1"/>
  <c r="Y37" i="66" s="1"/>
  <c r="M37" i="74"/>
  <c r="Z180" i="66"/>
  <c r="AA180" i="66"/>
  <c r="P36" i="66"/>
  <c r="Z36" i="66"/>
  <c r="Z17" i="74"/>
  <c r="P17" i="74"/>
  <c r="AA17" i="74"/>
  <c r="Y30" i="74"/>
  <c r="P180" i="66"/>
  <c r="Y17" i="74"/>
  <c r="V17" i="66"/>
  <c r="R17" i="66"/>
  <c r="AA36" i="66"/>
  <c r="Q185" i="66"/>
  <c r="W185" i="66" s="1"/>
  <c r="Y185" i="66" s="1"/>
  <c r="S185" i="66"/>
  <c r="U185" i="66" s="1"/>
  <c r="O185" i="66"/>
  <c r="V26" i="74"/>
  <c r="R26" i="74"/>
  <c r="Q36" i="66"/>
  <c r="W36" i="66" s="1"/>
  <c r="Y36" i="66" s="1"/>
  <c r="S36" i="66"/>
  <c r="U36" i="66" s="1"/>
  <c r="R30" i="66"/>
  <c r="V30" i="66"/>
  <c r="Z179" i="66"/>
  <c r="P35" i="66"/>
  <c r="AA179" i="66"/>
  <c r="Z35" i="66"/>
  <c r="AA35" i="66"/>
  <c r="M41" i="74"/>
  <c r="S41" i="66"/>
  <c r="U41" i="66" s="1"/>
  <c r="Q41" i="66"/>
  <c r="W41" i="66" s="1"/>
  <c r="Y41" i="66" s="1"/>
  <c r="O41" i="66"/>
  <c r="N20" i="66"/>
  <c r="N20" i="74" s="1"/>
  <c r="B16" i="8"/>
  <c r="R161" i="66"/>
  <c r="V161" i="66"/>
  <c r="H481" i="37"/>
  <c r="M20" i="66"/>
  <c r="S35" i="74"/>
  <c r="U35" i="74" s="1"/>
  <c r="Q35" i="74"/>
  <c r="W35" i="74" s="1"/>
  <c r="Y35" i="74" s="1"/>
  <c r="O35" i="74"/>
  <c r="AC35" i="74"/>
  <c r="AE35" i="74" l="1"/>
  <c r="AF35" i="74" s="1"/>
  <c r="AG35" i="74"/>
  <c r="Q36" i="74"/>
  <c r="W36" i="74" s="1"/>
  <c r="Y36" i="74" s="1"/>
  <c r="S36" i="74"/>
  <c r="U36" i="74" s="1"/>
  <c r="AC36" i="74"/>
  <c r="AF17" i="74"/>
  <c r="C26" i="77" s="1"/>
  <c r="C43" i="77"/>
  <c r="AD35" i="74"/>
  <c r="H481" i="41"/>
  <c r="R181" i="66"/>
  <c r="V181" i="66"/>
  <c r="S41" i="74"/>
  <c r="U41" i="74" s="1"/>
  <c r="Q41" i="74"/>
  <c r="W41" i="74" s="1"/>
  <c r="Y41" i="74" s="1"/>
  <c r="O41" i="74"/>
  <c r="AC41" i="74"/>
  <c r="Z181" i="66"/>
  <c r="AA37" i="66"/>
  <c r="Z37" i="66"/>
  <c r="P37" i="66"/>
  <c r="AA181" i="66"/>
  <c r="P185" i="66"/>
  <c r="AA35" i="74"/>
  <c r="Z35" i="74"/>
  <c r="P35" i="74"/>
  <c r="V36" i="66"/>
  <c r="R36" i="66"/>
  <c r="R179" i="66"/>
  <c r="V179" i="66"/>
  <c r="V35" i="66"/>
  <c r="R35" i="66"/>
  <c r="S164" i="66"/>
  <c r="U164" i="66" s="1"/>
  <c r="Q164" i="66"/>
  <c r="W164" i="66" s="1"/>
  <c r="Y164" i="66" s="1"/>
  <c r="O164" i="66"/>
  <c r="M20" i="74"/>
  <c r="O20" i="66"/>
  <c r="Q20" i="66"/>
  <c r="W20" i="66" s="1"/>
  <c r="Y20" i="66" s="1"/>
  <c r="S20" i="66"/>
  <c r="U20" i="66" s="1"/>
  <c r="AA41" i="66"/>
  <c r="Z41" i="66"/>
  <c r="AA185" i="66"/>
  <c r="Z185" i="66"/>
  <c r="P41" i="66"/>
  <c r="V17" i="74"/>
  <c r="R17" i="74"/>
  <c r="R180" i="66"/>
  <c r="V180" i="66"/>
  <c r="Q37" i="74"/>
  <c r="W37" i="74" s="1"/>
  <c r="Y37" i="74" s="1"/>
  <c r="S37" i="74"/>
  <c r="U37" i="74" s="1"/>
  <c r="AC37" i="74"/>
  <c r="O37" i="74"/>
  <c r="V30" i="74"/>
  <c r="R30" i="74"/>
  <c r="Z36" i="74"/>
  <c r="AA36" i="74"/>
  <c r="P36" i="74"/>
  <c r="AE36" i="74" l="1"/>
  <c r="AF36" i="74" s="1"/>
  <c r="AG36" i="74"/>
  <c r="AE37" i="74"/>
  <c r="AF37" i="74" s="1"/>
  <c r="AG37" i="74"/>
  <c r="AE41" i="74"/>
  <c r="AF41" i="74" s="1"/>
  <c r="C28" i="77" s="1"/>
  <c r="AG41" i="74"/>
  <c r="I28" i="77" s="1"/>
  <c r="K28" i="77" s="1"/>
  <c r="AD36" i="74"/>
  <c r="AD37" i="74"/>
  <c r="AD41" i="74"/>
  <c r="E28" i="77" s="1"/>
  <c r="E35" i="77" s="1"/>
  <c r="R185" i="66"/>
  <c r="V185" i="66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W20" i="74" s="1"/>
  <c r="Y20" i="74" s="1"/>
  <c r="V35" i="74"/>
  <c r="R35" i="74"/>
  <c r="V41" i="66"/>
  <c r="R41" i="66"/>
  <c r="Z37" i="74"/>
  <c r="P37" i="74"/>
  <c r="AA37" i="74"/>
  <c r="P164" i="66"/>
  <c r="AE20" i="74" l="1"/>
  <c r="AF20" i="74" s="1"/>
  <c r="AG20" i="74"/>
  <c r="C35" i="77"/>
  <c r="AD20" i="74"/>
  <c r="C8" i="77"/>
  <c r="V20" i="66"/>
  <c r="R20" i="66"/>
  <c r="P20" i="74"/>
  <c r="AA20" i="74"/>
  <c r="Z20" i="74"/>
  <c r="V37" i="74"/>
  <c r="R37" i="74"/>
  <c r="V41" i="74"/>
  <c r="R41" i="74"/>
  <c r="R164" i="66"/>
  <c r="V164" i="66"/>
  <c r="R20" i="74" l="1"/>
  <c r="V20" i="74"/>
  <c r="C44" i="77" l="1"/>
  <c r="C11" i="77" l="1"/>
  <c r="C47" i="77" l="1"/>
  <c r="J4" i="58" l="1"/>
  <c r="J4" i="37"/>
  <c r="I4" i="37"/>
  <c r="I4" i="58"/>
  <c r="G282" i="72"/>
  <c r="G251" i="72"/>
  <c r="H4" i="37" l="1"/>
  <c r="H4" i="58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H283" i="72"/>
  <c r="I284" i="72" s="1"/>
  <c r="J285" i="72" s="1"/>
  <c r="K286" i="72" s="1"/>
  <c r="L287" i="72" s="1"/>
  <c r="M288" i="72" s="1"/>
  <c r="N289" i="72" s="1"/>
  <c r="O290" i="72" s="1"/>
  <c r="E282" i="72"/>
  <c r="F282" i="72" s="1"/>
  <c r="E25" i="53"/>
  <c r="N4" i="58"/>
  <c r="G198" i="66"/>
  <c r="E19" i="53"/>
  <c r="G54" i="66"/>
  <c r="I4" i="41"/>
  <c r="D45" i="39" s="1"/>
  <c r="J4" i="41"/>
  <c r="M45" i="39" s="1"/>
  <c r="G102" i="66"/>
  <c r="E31" i="53"/>
  <c r="O4" i="58"/>
  <c r="G246" i="66"/>
  <c r="E37" i="53"/>
  <c r="E45" i="39" l="1"/>
  <c r="E124" i="38" s="1"/>
  <c r="L45" i="39"/>
  <c r="E158" i="38" s="1"/>
  <c r="G54" i="74"/>
  <c r="G283" i="72"/>
  <c r="H284" i="72" s="1"/>
  <c r="I285" i="72" s="1"/>
  <c r="J286" i="72" s="1"/>
  <c r="K287" i="72" s="1"/>
  <c r="L288" i="72" s="1"/>
  <c r="M289" i="72" s="1"/>
  <c r="N290" i="72" s="1"/>
  <c r="O291" i="72" s="1"/>
  <c r="G102" i="74"/>
  <c r="G252" i="72"/>
  <c r="H253" i="72" s="1"/>
  <c r="I254" i="72" s="1"/>
  <c r="J255" i="72" s="1"/>
  <c r="K256" i="72" s="1"/>
  <c r="L257" i="72" s="1"/>
  <c r="M258" i="72" s="1"/>
  <c r="N259" i="72" s="1"/>
  <c r="O260" i="72" s="1"/>
  <c r="E175" i="38"/>
  <c r="G150" i="66"/>
  <c r="M4" i="58"/>
  <c r="E13" i="53"/>
  <c r="E107" i="38"/>
  <c r="E7" i="53"/>
  <c r="G6" i="66"/>
  <c r="H4" i="41"/>
  <c r="C45" i="39" s="1"/>
  <c r="P260" i="72"/>
  <c r="Q261" i="72" s="1"/>
  <c r="R262" i="72" s="1"/>
  <c r="S263" i="72" s="1"/>
  <c r="T264" i="72" s="1"/>
  <c r="U265" i="72" s="1"/>
  <c r="V266" i="72" s="1"/>
  <c r="W267" i="72" s="1"/>
  <c r="X268" i="72" s="1"/>
  <c r="Y269" i="72" s="1"/>
  <c r="P292" i="72" l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P291" i="72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2" i="72"/>
  <c r="F252" i="72" s="1"/>
  <c r="G253" i="72" s="1"/>
  <c r="Z270" i="72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K102" i="66"/>
  <c r="D31" i="53"/>
  <c r="F31" i="53" s="1"/>
  <c r="H37" i="53" s="1"/>
  <c r="J466" i="37"/>
  <c r="E283" i="72"/>
  <c r="F283" i="72" s="1"/>
  <c r="G65" i="72"/>
  <c r="G96" i="72"/>
  <c r="G6" i="74"/>
  <c r="P261" i="72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4" i="72"/>
  <c r="G3" i="72"/>
  <c r="D19" i="53"/>
  <c r="F19" i="53" s="1"/>
  <c r="H25" i="53" s="1"/>
  <c r="I466" i="37"/>
  <c r="K54" i="66"/>
  <c r="G220" i="72"/>
  <c r="G189" i="72"/>
  <c r="G158" i="72"/>
  <c r="G127" i="72"/>
  <c r="C56" i="39"/>
  <c r="C59" i="39"/>
  <c r="C60" i="39" s="1"/>
  <c r="E90" i="38"/>
  <c r="K246" i="66"/>
  <c r="J466" i="58"/>
  <c r="D37" i="53"/>
  <c r="F37" i="53" s="1"/>
  <c r="H31" i="53" s="1"/>
  <c r="I466" i="58"/>
  <c r="D25" i="53"/>
  <c r="F25" i="53" s="1"/>
  <c r="K198" i="66"/>
  <c r="K45" i="39"/>
  <c r="G31" i="53" l="1"/>
  <c r="E331" i="38" s="1"/>
  <c r="H254" i="72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3" i="72"/>
  <c r="F253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X246" i="66"/>
  <c r="T246" i="66"/>
  <c r="T54" i="66"/>
  <c r="K54" i="74"/>
  <c r="X54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K6" i="66"/>
  <c r="H474" i="37"/>
  <c r="H466" i="37"/>
  <c r="D7" i="53"/>
  <c r="F7" i="53" s="1"/>
  <c r="H13" i="53" s="1"/>
  <c r="I466" i="4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K56" i="39"/>
  <c r="E141" i="38"/>
  <c r="K59" i="39"/>
  <c r="K60" i="39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X198" i="66"/>
  <c r="T198" i="66"/>
  <c r="C58" i="39"/>
  <c r="C57" i="39"/>
  <c r="H19" i="53"/>
  <c r="G19" i="53" s="1"/>
  <c r="G25" i="53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J466" i="4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G37" i="53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T102" i="66"/>
  <c r="X102" i="66"/>
  <c r="K102" i="74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37" i="38" l="1"/>
  <c r="N102" i="66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K57" i="39"/>
  <c r="K58" i="39"/>
  <c r="H466" i="58"/>
  <c r="H466" i="41" s="1"/>
  <c r="H474" i="58"/>
  <c r="K150" i="66"/>
  <c r="D13" i="53"/>
  <c r="F13" i="53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T102" i="74"/>
  <c r="X102" i="74"/>
  <c r="E254" i="72"/>
  <c r="F25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319" i="38"/>
  <c r="E325" i="38"/>
  <c r="N198" i="66" s="1"/>
  <c r="T54" i="74"/>
  <c r="X54" i="74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307" i="38"/>
  <c r="E313" i="38"/>
  <c r="H489" i="37"/>
  <c r="G7" i="66"/>
  <c r="H479" i="37"/>
  <c r="G8" i="66"/>
  <c r="E349" i="38"/>
  <c r="N246" i="66" s="1"/>
  <c r="E343" i="38"/>
  <c r="X6" i="66"/>
  <c r="T6" i="66"/>
  <c r="M102" i="66"/>
  <c r="J486" i="37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D20" i="8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C20" i="8"/>
  <c r="N54" i="66"/>
  <c r="I486" i="58"/>
  <c r="M198" i="66"/>
  <c r="E285" i="72"/>
  <c r="F285" i="72" s="1"/>
  <c r="N102" i="74"/>
  <c r="G18" i="39"/>
  <c r="M54" i="66"/>
  <c r="I486" i="37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54" i="38"/>
  <c r="L8" i="66" s="1"/>
  <c r="H480" i="37"/>
  <c r="E4" i="72"/>
  <c r="F4" i="72" s="1"/>
  <c r="O102" i="66"/>
  <c r="Q102" i="66"/>
  <c r="H7" i="53"/>
  <c r="G7" i="53" s="1"/>
  <c r="G13" i="53"/>
  <c r="K6" i="74"/>
  <c r="T150" i="66"/>
  <c r="X150" i="66"/>
  <c r="H474" i="41"/>
  <c r="G152" i="66"/>
  <c r="G8" i="74" s="1"/>
  <c r="H479" i="58"/>
  <c r="H479" i="41" s="1"/>
  <c r="M7" i="66"/>
  <c r="E128" i="72"/>
  <c r="F128" i="72" s="1"/>
  <c r="H489" i="58"/>
  <c r="H489" i="41" s="1"/>
  <c r="G151" i="66"/>
  <c r="E97" i="72"/>
  <c r="F97" i="72" s="1"/>
  <c r="J486" i="58"/>
  <c r="J486" i="41" s="1"/>
  <c r="M246" i="66"/>
  <c r="E190" i="72"/>
  <c r="F190" i="72" s="1"/>
  <c r="E66" i="72"/>
  <c r="F66" i="72" s="1"/>
  <c r="E35" i="72"/>
  <c r="F35" i="72" s="1"/>
  <c r="I486" i="41" l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Q7" i="66"/>
  <c r="W7" i="66" s="1"/>
  <c r="Y7" i="66" s="1"/>
  <c r="O7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H480" i="58"/>
  <c r="E373" i="38" s="1"/>
  <c r="L171" i="66" s="1"/>
  <c r="O171" i="66" s="1"/>
  <c r="E372" i="38"/>
  <c r="L152" i="66" s="1"/>
  <c r="O152" i="66" s="1"/>
  <c r="E301" i="38"/>
  <c r="N150" i="66" s="1"/>
  <c r="E295" i="38"/>
  <c r="M54" i="74"/>
  <c r="Q54" i="66"/>
  <c r="O54" i="66"/>
  <c r="E289" i="38"/>
  <c r="E283" i="38"/>
  <c r="E160" i="72"/>
  <c r="F160" i="72" s="1"/>
  <c r="E355" i="38"/>
  <c r="L27" i="66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7" i="74"/>
  <c r="M151" i="66"/>
  <c r="Q151" i="66" s="1"/>
  <c r="W151" i="66" s="1"/>
  <c r="Y151" i="66" s="1"/>
  <c r="O8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Q198" i="66"/>
  <c r="O198" i="66"/>
  <c r="Q246" i="66"/>
  <c r="O246" i="66"/>
  <c r="P246" i="66" s="1"/>
  <c r="M102" i="74"/>
  <c r="E255" i="72"/>
  <c r="F255" i="72" s="1"/>
  <c r="N54" i="74"/>
  <c r="F18" i="39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T6" i="74"/>
  <c r="X6" i="74"/>
  <c r="L8" i="74" l="1"/>
  <c r="O8" i="74" s="1"/>
  <c r="AA8" i="74" s="1"/>
  <c r="H480" i="41"/>
  <c r="O151" i="66"/>
  <c r="P151" i="66" s="1"/>
  <c r="V151" i="66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P102" i="66"/>
  <c r="V102" i="66" s="1"/>
  <c r="AA102" i="66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P198" i="66"/>
  <c r="R198" i="66" s="1"/>
  <c r="S198" i="66" s="1"/>
  <c r="U198" i="66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Z102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H486" i="58"/>
  <c r="M150" i="66"/>
  <c r="Q102" i="74"/>
  <c r="AC102" i="74"/>
  <c r="O102" i="74"/>
  <c r="E67" i="72"/>
  <c r="F67" i="72" s="1"/>
  <c r="L27" i="74"/>
  <c r="O27" i="66"/>
  <c r="O54" i="74"/>
  <c r="Q54" i="74"/>
  <c r="AC54" i="74"/>
  <c r="V246" i="66"/>
  <c r="R246" i="66"/>
  <c r="S246" i="66" s="1"/>
  <c r="U246" i="66" s="1"/>
  <c r="W246" i="66"/>
  <c r="Y246" i="66" s="1"/>
  <c r="Z246" i="66"/>
  <c r="AA246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H486" i="37"/>
  <c r="M6" i="66"/>
  <c r="E191" i="72"/>
  <c r="F191" i="72" s="1"/>
  <c r="N6" i="66"/>
  <c r="N6" i="74" s="1"/>
  <c r="B20" i="8"/>
  <c r="AA54" i="66"/>
  <c r="Z54" i="66"/>
  <c r="Z198" i="66"/>
  <c r="P54" i="66"/>
  <c r="AA198" i="66"/>
  <c r="M7" i="74"/>
  <c r="Q7" i="74" s="1"/>
  <c r="W7" i="74" s="1"/>
  <c r="Y7" i="74" s="1"/>
  <c r="AA152" i="66"/>
  <c r="Z8" i="66"/>
  <c r="Z152" i="66"/>
  <c r="AA8" i="66"/>
  <c r="Z7" i="66" l="1"/>
  <c r="AA7" i="66"/>
  <c r="AA151" i="66"/>
  <c r="Z151" i="66"/>
  <c r="AE54" i="74"/>
  <c r="AG54" i="74"/>
  <c r="AE102" i="74"/>
  <c r="AG102" i="74"/>
  <c r="P7" i="66"/>
  <c r="V7" i="66" s="1"/>
  <c r="W102" i="66"/>
  <c r="Y102" i="66" s="1"/>
  <c r="R151" i="66"/>
  <c r="W198" i="66"/>
  <c r="Y198" i="66" s="1"/>
  <c r="V198" i="66"/>
  <c r="Z8" i="74"/>
  <c r="AC8" i="74"/>
  <c r="R102" i="66"/>
  <c r="S102" i="66" s="1"/>
  <c r="U102" i="66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H486" i="4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AD54" i="74"/>
  <c r="Z54" i="74"/>
  <c r="P54" i="74"/>
  <c r="AA54" i="74"/>
  <c r="E99" i="72"/>
  <c r="F99" i="72" s="1"/>
  <c r="AC7" i="74"/>
  <c r="E256" i="72"/>
  <c r="F256" i="72" s="1"/>
  <c r="O7" i="74"/>
  <c r="E6" i="72"/>
  <c r="F6" i="72" s="1"/>
  <c r="V54" i="66"/>
  <c r="W54" i="66"/>
  <c r="Y54" i="66" s="1"/>
  <c r="R54" i="66"/>
  <c r="S54" i="66" s="1"/>
  <c r="U54" i="66" s="1"/>
  <c r="E130" i="72"/>
  <c r="F130" i="72" s="1"/>
  <c r="Z27" i="66"/>
  <c r="AA27" i="66"/>
  <c r="AA171" i="66"/>
  <c r="Z171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AC27" i="74"/>
  <c r="O27" i="74"/>
  <c r="S150" i="66"/>
  <c r="U150" i="66" s="1"/>
  <c r="Q150" i="66"/>
  <c r="W150" i="66" s="1"/>
  <c r="Y150" i="66" s="1"/>
  <c r="O150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M6" i="74"/>
  <c r="S6" i="66"/>
  <c r="U6" i="66" s="1"/>
  <c r="Q6" i="66"/>
  <c r="W6" i="66" s="1"/>
  <c r="Y6" i="66" s="1"/>
  <c r="O6" i="66"/>
  <c r="AA102" i="74"/>
  <c r="P102" i="74"/>
  <c r="Z102" i="74"/>
  <c r="AD102" i="74"/>
  <c r="AE27" i="74" l="1"/>
  <c r="AF27" i="74" s="1"/>
  <c r="AE7" i="74"/>
  <c r="AF7" i="74" s="1"/>
  <c r="AG7" i="74"/>
  <c r="AE8" i="74"/>
  <c r="AF8" i="74" s="1"/>
  <c r="AG8" i="74"/>
  <c r="R7" i="66"/>
  <c r="AD8" i="74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AF54" i="74"/>
  <c r="E192" i="72"/>
  <c r="F192" i="72" s="1"/>
  <c r="V54" i="74"/>
  <c r="R54" i="74"/>
  <c r="S54" i="74" s="1"/>
  <c r="U54" i="74" s="1"/>
  <c r="W54" i="74"/>
  <c r="Y54" i="74" s="1"/>
  <c r="E225" i="72"/>
  <c r="F225" i="72" s="1"/>
  <c r="V102" i="74"/>
  <c r="R102" i="74"/>
  <c r="S102" i="74" s="1"/>
  <c r="U102" i="74" s="1"/>
  <c r="W102" i="74"/>
  <c r="Y102" i="74" s="1"/>
  <c r="P150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8" i="72"/>
  <c r="F38" i="72" s="1"/>
  <c r="AA150" i="66"/>
  <c r="AA6" i="66"/>
  <c r="Z6" i="66"/>
  <c r="Z150" i="66"/>
  <c r="P6" i="66"/>
  <c r="AA7" i="74"/>
  <c r="Z7" i="74"/>
  <c r="P7" i="74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AF102" i="74"/>
  <c r="Z27" i="74"/>
  <c r="AA27" i="74"/>
  <c r="O6" i="74"/>
  <c r="Q6" i="74"/>
  <c r="W6" i="74" s="1"/>
  <c r="Y6" i="74" s="1"/>
  <c r="S6" i="74"/>
  <c r="U6" i="74" s="1"/>
  <c r="AC6" i="74"/>
  <c r="AD27" i="74"/>
  <c r="AG27" i="74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AD7" i="74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88" i="72"/>
  <c r="F288" i="72" s="1"/>
  <c r="AE6" i="74" l="1"/>
  <c r="C40" i="77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63" i="72"/>
  <c r="F163" i="72" s="1"/>
  <c r="R150" i="66"/>
  <c r="V150" i="66"/>
  <c r="C4" i="77"/>
  <c r="AD6" i="74"/>
  <c r="AG6" i="74" s="1"/>
  <c r="V6" i="66"/>
  <c r="R6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P6" i="74"/>
  <c r="Z6" i="74"/>
  <c r="AA6" i="74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R7" i="74"/>
  <c r="V7" i="74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58" i="72"/>
  <c r="F258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26" i="72"/>
  <c r="F226" i="72" s="1"/>
  <c r="R6" i="74"/>
  <c r="V6" i="74"/>
  <c r="E70" i="72"/>
  <c r="F70" i="72" s="1"/>
  <c r="AF6" i="74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2" i="72"/>
  <c r="F10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9" i="72"/>
  <c r="F9" i="72" s="1"/>
  <c r="E194" i="72"/>
  <c r="F194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1" i="72"/>
  <c r="F71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91" i="72"/>
  <c r="F291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E227" i="72"/>
  <c r="F227" i="72" s="1"/>
  <c r="E41" i="72"/>
  <c r="F41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95" i="72"/>
  <c r="F195" i="72" s="1"/>
  <c r="E103" i="72"/>
  <c r="F103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72" i="72"/>
  <c r="F72" i="72" s="1"/>
  <c r="G7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92" i="72"/>
  <c r="F292" i="72" s="1"/>
  <c r="E261" i="72"/>
  <c r="F26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5" i="72"/>
  <c r="F135" i="72" s="1"/>
  <c r="E228" i="72"/>
  <c r="F228" i="72" s="1"/>
  <c r="E43" i="72" l="1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H74" i="72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96" i="72"/>
  <c r="F196" i="72" s="1"/>
  <c r="E104" i="72"/>
  <c r="F10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7" i="72"/>
  <c r="F167" i="72" s="1"/>
  <c r="E229" i="72" l="1"/>
  <c r="F229" i="72" s="1"/>
  <c r="E74" i="72"/>
  <c r="F7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93" i="72"/>
  <c r="F293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6" i="72"/>
  <c r="F136" i="72" s="1"/>
  <c r="E262" i="72"/>
  <c r="F262" i="72" s="1"/>
  <c r="E44" i="72"/>
  <c r="F4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68" i="72"/>
  <c r="F168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97" i="72"/>
  <c r="F197" i="72" s="1"/>
  <c r="E105" i="72"/>
  <c r="F105" i="72" s="1"/>
  <c r="E12" i="72"/>
  <c r="F1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7" i="72"/>
  <c r="F137" i="72" s="1"/>
  <c r="E230" i="72"/>
  <c r="F230" i="72" s="1"/>
  <c r="E263" i="72"/>
  <c r="F263" i="72" s="1"/>
  <c r="E75" i="72"/>
  <c r="F75" i="72" s="1"/>
  <c r="E45" i="72"/>
  <c r="F45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" i="72"/>
  <c r="F13" i="72" s="1"/>
  <c r="E169" i="72"/>
  <c r="F16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6" i="72"/>
  <c r="F76" i="72" s="1"/>
  <c r="E199" i="72"/>
  <c r="F19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6" i="72"/>
  <c r="F46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1" i="72"/>
  <c r="F231" i="72" s="1"/>
  <c r="E296" i="72"/>
  <c r="F296" i="72" s="1"/>
  <c r="E107" i="72"/>
  <c r="F107" i="72" s="1"/>
  <c r="E138" i="72"/>
  <c r="F138" i="72" s="1"/>
  <c r="E14" i="72" l="1"/>
  <c r="F1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5" i="72"/>
  <c r="F265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0" i="72"/>
  <c r="F17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7" i="72"/>
  <c r="F47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77" i="72"/>
  <c r="F77" i="72" s="1"/>
  <c r="E232" i="72"/>
  <c r="F232" i="72" s="1"/>
  <c r="E108" i="72"/>
  <c r="F108" i="72" s="1"/>
  <c r="E297" i="72"/>
  <c r="F297" i="72" s="1"/>
  <c r="E139" i="72"/>
  <c r="F139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6" i="72"/>
  <c r="F26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01" i="72"/>
  <c r="F201" i="72" s="1"/>
  <c r="E171" i="72"/>
  <c r="F171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3" i="72"/>
  <c r="F233" i="72" s="1"/>
  <c r="E109" i="72"/>
  <c r="F109" i="72" s="1"/>
  <c r="E140" i="72"/>
  <c r="F140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8" i="72"/>
  <c r="F29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72" i="72"/>
  <c r="F172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7" i="72"/>
  <c r="F267" i="72" s="1"/>
  <c r="E79" i="72"/>
  <c r="F79" i="72" s="1"/>
  <c r="E49" i="72"/>
  <c r="F49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0" i="72"/>
  <c r="F110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9" i="72"/>
  <c r="F299" i="72" s="1"/>
  <c r="E234" i="72"/>
  <c r="F23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1" i="72"/>
  <c r="F141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8" i="72"/>
  <c r="F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80" i="72"/>
  <c r="F80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50" i="72"/>
  <c r="F5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3" i="72"/>
  <c r="F17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4" i="72"/>
  <c r="F204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300" i="72"/>
  <c r="F30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5" i="72"/>
  <c r="F235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11" i="72"/>
  <c r="F111" i="72" s="1"/>
  <c r="E269" i="72"/>
  <c r="F269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9" i="72"/>
  <c r="F19" i="72" s="1"/>
  <c r="E51" i="72"/>
  <c r="F5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12" i="72" l="1"/>
  <c r="F112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301" i="72"/>
  <c r="F301" i="72" s="1"/>
  <c r="E82" i="72"/>
  <c r="F82" i="72" s="1"/>
  <c r="E206" i="72"/>
  <c r="F206" i="72" s="1"/>
  <c r="E175" i="72"/>
  <c r="F175" i="72" s="1"/>
  <c r="E270" i="72"/>
  <c r="F270" i="72" s="1"/>
  <c r="E236" i="72"/>
  <c r="F236" i="72" s="1"/>
  <c r="E144" i="72"/>
  <c r="F144" i="72" s="1"/>
  <c r="G207" i="72" l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" i="72"/>
  <c r="F20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52" i="72"/>
  <c r="F5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76" i="72"/>
  <c r="F176" i="72" s="1"/>
  <c r="E271" i="72"/>
  <c r="F271" i="72" s="1"/>
  <c r="E237" i="72"/>
  <c r="F237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3" i="72"/>
  <c r="F83" i="72" s="1"/>
  <c r="E207" i="72"/>
  <c r="F207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14" i="72"/>
  <c r="F114" i="72" s="1"/>
  <c r="E21" i="72"/>
  <c r="F2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3" i="72"/>
  <c r="F53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6" i="72"/>
  <c r="F14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304" i="72"/>
  <c r="F304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08" i="72"/>
  <c r="F20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305" i="72" l="1"/>
  <c r="H306" i="72" s="1"/>
  <c r="I307" i="72" s="1"/>
  <c r="J308" i="72" s="1"/>
  <c r="K309" i="72" s="1"/>
  <c r="L310" i="72" s="1"/>
  <c r="M311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54" i="72"/>
  <c r="F54" i="72" s="1"/>
  <c r="E178" i="72"/>
  <c r="F178" i="72" s="1"/>
  <c r="E85" i="72"/>
  <c r="F85" i="72" s="1"/>
  <c r="E273" i="72"/>
  <c r="F273" i="72" s="1"/>
  <c r="E239" i="72"/>
  <c r="F239" i="72" s="1"/>
  <c r="E22" i="72"/>
  <c r="F22" i="72" s="1"/>
  <c r="E305" i="72" l="1"/>
  <c r="F305" i="72" s="1"/>
  <c r="G306" i="72" s="1"/>
  <c r="H307" i="72" s="1"/>
  <c r="I308" i="72" s="1"/>
  <c r="J309" i="72" s="1"/>
  <c r="K310" i="72" s="1"/>
  <c r="L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74" i="72"/>
  <c r="H275" i="72" s="1"/>
  <c r="I276" i="72" s="1"/>
  <c r="J277" i="72" s="1"/>
  <c r="K278" i="72" s="1"/>
  <c r="L279" i="72" s="1"/>
  <c r="M280" i="72" s="1"/>
  <c r="E116" i="72"/>
  <c r="F11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6" i="72"/>
  <c r="H87" i="72" s="1"/>
  <c r="I88" i="72" s="1"/>
  <c r="J89" i="72" s="1"/>
  <c r="K90" i="72" s="1"/>
  <c r="L91" i="72" s="1"/>
  <c r="M92" i="72" s="1"/>
  <c r="N93" i="72" s="1"/>
  <c r="O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55" i="72"/>
  <c r="H56" i="72" s="1"/>
  <c r="I57" i="72" s="1"/>
  <c r="J58" i="72" s="1"/>
  <c r="K59" i="72" s="1"/>
  <c r="L60" i="72" s="1"/>
  <c r="M61" i="72" s="1"/>
  <c r="N62" i="72" s="1"/>
  <c r="O6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09" i="72"/>
  <c r="F209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E306" i="72"/>
  <c r="F306" i="72" s="1"/>
  <c r="G307" i="72" s="1"/>
  <c r="H308" i="72" s="1"/>
  <c r="I309" i="72" s="1"/>
  <c r="J310" i="72" s="1"/>
  <c r="K311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79" i="72"/>
  <c r="F179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40" i="72"/>
  <c r="F24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74" i="72"/>
  <c r="F274" i="72" s="1"/>
  <c r="E149" i="72"/>
  <c r="F149" i="72" s="1"/>
  <c r="E307" i="72" l="1"/>
  <c r="F307" i="72" s="1"/>
  <c r="G308" i="72" s="1"/>
  <c r="H309" i="72" s="1"/>
  <c r="I310" i="72" s="1"/>
  <c r="J311" i="72" s="1"/>
  <c r="E56" i="72"/>
  <c r="F56" i="72" s="1"/>
  <c r="G57" i="72" s="1"/>
  <c r="H58" i="72" s="1"/>
  <c r="I59" i="72" s="1"/>
  <c r="J60" i="72" s="1"/>
  <c r="K61" i="72" s="1"/>
  <c r="L62" i="72" s="1"/>
  <c r="M63" i="72" s="1"/>
  <c r="G275" i="72"/>
  <c r="H276" i="72" s="1"/>
  <c r="I277" i="72" s="1"/>
  <c r="J278" i="72" s="1"/>
  <c r="K279" i="72" s="1"/>
  <c r="L280" i="72" s="1"/>
  <c r="E117" i="72"/>
  <c r="F11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87" i="72"/>
  <c r="F87" i="72" s="1"/>
  <c r="E210" i="72"/>
  <c r="F210" i="72" s="1"/>
  <c r="G150" i="72"/>
  <c r="H151" i="72" s="1"/>
  <c r="I152" i="72" s="1"/>
  <c r="J153" i="72" s="1"/>
  <c r="K154" i="72" s="1"/>
  <c r="L155" i="72" s="1"/>
  <c r="M156" i="72" s="1"/>
  <c r="E24" i="72"/>
  <c r="F24" i="72" s="1"/>
  <c r="G180" i="72"/>
  <c r="H181" i="72" s="1"/>
  <c r="I182" i="72" s="1"/>
  <c r="J183" i="72" s="1"/>
  <c r="K184" i="72" s="1"/>
  <c r="L185" i="72" s="1"/>
  <c r="M186" i="72" s="1"/>
  <c r="N187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180" i="72"/>
  <c r="F180" i="72" s="1"/>
  <c r="G181" i="72" s="1"/>
  <c r="G88" i="72"/>
  <c r="H89" i="72" s="1"/>
  <c r="I90" i="72" s="1"/>
  <c r="J91" i="72" s="1"/>
  <c r="K92" i="72" s="1"/>
  <c r="L93" i="72" s="1"/>
  <c r="M94" i="72" s="1"/>
  <c r="E308" i="72"/>
  <c r="F308" i="72" s="1"/>
  <c r="G25" i="72"/>
  <c r="H26" i="72" s="1"/>
  <c r="I27" i="72" s="1"/>
  <c r="J28" i="72" s="1"/>
  <c r="K29" i="72" s="1"/>
  <c r="L30" i="72" s="1"/>
  <c r="M31" i="72" s="1"/>
  <c r="N32" i="72" s="1"/>
  <c r="E150" i="72"/>
  <c r="F150" i="72" s="1"/>
  <c r="G211" i="72"/>
  <c r="H212" i="72" s="1"/>
  <c r="I213" i="72" s="1"/>
  <c r="J214" i="72" s="1"/>
  <c r="K215" i="72" s="1"/>
  <c r="L216" i="72" s="1"/>
  <c r="M217" i="72" s="1"/>
  <c r="N218" i="72" s="1"/>
  <c r="G118" i="72"/>
  <c r="H119" i="72" s="1"/>
  <c r="I120" i="72" s="1"/>
  <c r="J121" i="72" s="1"/>
  <c r="K122" i="72" s="1"/>
  <c r="L123" i="72" s="1"/>
  <c r="M124" i="72" s="1"/>
  <c r="N125" i="72" s="1"/>
  <c r="E57" i="72"/>
  <c r="F57" i="72" s="1"/>
  <c r="E275" i="72"/>
  <c r="F275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H182" i="72"/>
  <c r="I183" i="72" s="1"/>
  <c r="J184" i="72" s="1"/>
  <c r="K185" i="72" s="1"/>
  <c r="L186" i="72" s="1"/>
  <c r="M187" i="72" s="1"/>
  <c r="E181" i="72"/>
  <c r="F181" i="72" s="1"/>
  <c r="G182" i="72" s="1"/>
  <c r="H183" i="72" s="1"/>
  <c r="I184" i="72" s="1"/>
  <c r="J185" i="72" s="1"/>
  <c r="K186" i="72" s="1"/>
  <c r="L187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G151" i="72"/>
  <c r="H152" i="72" s="1"/>
  <c r="I153" i="72" s="1"/>
  <c r="J154" i="72" s="1"/>
  <c r="K155" i="72" s="1"/>
  <c r="L156" i="72" s="1"/>
  <c r="E25" i="72"/>
  <c r="F25" i="72" s="1"/>
  <c r="G58" i="72"/>
  <c r="H59" i="72" s="1"/>
  <c r="I60" i="72" s="1"/>
  <c r="J61" i="72" s="1"/>
  <c r="K62" i="72" s="1"/>
  <c r="L63" i="72" s="1"/>
  <c r="G276" i="72"/>
  <c r="H277" i="72" s="1"/>
  <c r="I278" i="72" s="1"/>
  <c r="J279" i="72" s="1"/>
  <c r="K280" i="72" s="1"/>
  <c r="G309" i="72"/>
  <c r="H310" i="72" s="1"/>
  <c r="I311" i="72" s="1"/>
  <c r="E88" i="72"/>
  <c r="F88" i="72" s="1"/>
  <c r="E182" i="72" l="1"/>
  <c r="F182" i="72" s="1"/>
  <c r="G183" i="72" s="1"/>
  <c r="H184" i="72" s="1"/>
  <c r="I185" i="72" s="1"/>
  <c r="J186" i="72" s="1"/>
  <c r="K187" i="72" s="1"/>
  <c r="E276" i="72"/>
  <c r="F276" i="72" s="1"/>
  <c r="G277" i="72" s="1"/>
  <c r="H278" i="72" s="1"/>
  <c r="I279" i="72" s="1"/>
  <c r="J280" i="72" s="1"/>
  <c r="E58" i="72"/>
  <c r="F58" i="72" s="1"/>
  <c r="G59" i="72" s="1"/>
  <c r="H60" i="72" s="1"/>
  <c r="I61" i="72" s="1"/>
  <c r="J62" i="72" s="1"/>
  <c r="K63" i="72" s="1"/>
  <c r="E309" i="72"/>
  <c r="F309" i="72" s="1"/>
  <c r="G310" i="72" s="1"/>
  <c r="G26" i="72"/>
  <c r="H27" i="72" s="1"/>
  <c r="I28" i="72" s="1"/>
  <c r="J29" i="72" s="1"/>
  <c r="K30" i="72" s="1"/>
  <c r="L31" i="72" s="1"/>
  <c r="M32" i="72" s="1"/>
  <c r="E151" i="72"/>
  <c r="F151" i="72" s="1"/>
  <c r="G89" i="72"/>
  <c r="H90" i="72" s="1"/>
  <c r="I91" i="72" s="1"/>
  <c r="J92" i="72" s="1"/>
  <c r="K93" i="72" s="1"/>
  <c r="L94" i="72" s="1"/>
  <c r="E243" i="72"/>
  <c r="F243" i="72" s="1"/>
  <c r="E212" i="72"/>
  <c r="F212" i="72" s="1"/>
  <c r="E119" i="72"/>
  <c r="F119" i="72" s="1"/>
  <c r="E277" i="72" l="1"/>
  <c r="F277" i="72" s="1"/>
  <c r="G278" i="72" s="1"/>
  <c r="H279" i="72" s="1"/>
  <c r="I280" i="72" s="1"/>
  <c r="H311" i="72"/>
  <c r="E310" i="72"/>
  <c r="F310" i="72" s="1"/>
  <c r="G311" i="72" s="1"/>
  <c r="E183" i="72"/>
  <c r="F183" i="72" s="1"/>
  <c r="G184" i="72" s="1"/>
  <c r="H185" i="72" s="1"/>
  <c r="I186" i="72" s="1"/>
  <c r="J187" i="72" s="1"/>
  <c r="E26" i="72"/>
  <c r="F26" i="72" s="1"/>
  <c r="G152" i="72"/>
  <c r="H153" i="72" s="1"/>
  <c r="I154" i="72" s="1"/>
  <c r="J155" i="72" s="1"/>
  <c r="K156" i="72" s="1"/>
  <c r="G120" i="72"/>
  <c r="H121" i="72" s="1"/>
  <c r="I122" i="72" s="1"/>
  <c r="J123" i="72" s="1"/>
  <c r="K124" i="72" s="1"/>
  <c r="L125" i="72" s="1"/>
  <c r="G213" i="72"/>
  <c r="H214" i="72" s="1"/>
  <c r="I215" i="72" s="1"/>
  <c r="J216" i="72" s="1"/>
  <c r="K217" i="72" s="1"/>
  <c r="L218" i="72" s="1"/>
  <c r="G244" i="72"/>
  <c r="H245" i="72" s="1"/>
  <c r="I246" i="72" s="1"/>
  <c r="J247" i="72" s="1"/>
  <c r="K248" i="72" s="1"/>
  <c r="L249" i="72" s="1"/>
  <c r="E59" i="72"/>
  <c r="F59" i="72" s="1"/>
  <c r="E89" i="72"/>
  <c r="F89" i="72" s="1"/>
  <c r="E120" i="72" l="1"/>
  <c r="F120" i="72" s="1"/>
  <c r="G121" i="72" s="1"/>
  <c r="H122" i="72" s="1"/>
  <c r="I123" i="72" s="1"/>
  <c r="J124" i="72" s="1"/>
  <c r="K125" i="72" s="1"/>
  <c r="E184" i="72"/>
  <c r="F184" i="72" s="1"/>
  <c r="G185" i="72" s="1"/>
  <c r="H186" i="72" s="1"/>
  <c r="I187" i="72" s="1"/>
  <c r="E311" i="72"/>
  <c r="F311" i="72" s="1"/>
  <c r="E152" i="72"/>
  <c r="F152" i="72" s="1"/>
  <c r="G153" i="72" s="1"/>
  <c r="H154" i="72" s="1"/>
  <c r="I155" i="72" s="1"/>
  <c r="J156" i="72" s="1"/>
  <c r="E244" i="72"/>
  <c r="F244" i="72" s="1"/>
  <c r="G245" i="72" s="1"/>
  <c r="H246" i="72" s="1"/>
  <c r="I247" i="72" s="1"/>
  <c r="J248" i="72" s="1"/>
  <c r="K249" i="72" s="1"/>
  <c r="E213" i="72"/>
  <c r="F213" i="72" s="1"/>
  <c r="G214" i="72" s="1"/>
  <c r="H215" i="72" s="1"/>
  <c r="I216" i="72" s="1"/>
  <c r="J217" i="72" s="1"/>
  <c r="K218" i="72" s="1"/>
  <c r="G90" i="72"/>
  <c r="H91" i="72" s="1"/>
  <c r="I92" i="72" s="1"/>
  <c r="J93" i="72" s="1"/>
  <c r="K94" i="72" s="1"/>
  <c r="G27" i="72"/>
  <c r="H28" i="72" s="1"/>
  <c r="I29" i="72" s="1"/>
  <c r="J30" i="72" s="1"/>
  <c r="K31" i="72" s="1"/>
  <c r="L32" i="72" s="1"/>
  <c r="G60" i="72"/>
  <c r="H61" i="72" s="1"/>
  <c r="I62" i="72" s="1"/>
  <c r="J63" i="72" s="1"/>
  <c r="E278" i="72"/>
  <c r="F278" i="72" s="1"/>
  <c r="E121" i="72" l="1"/>
  <c r="F121" i="72" s="1"/>
  <c r="G122" i="72" s="1"/>
  <c r="H123" i="72" s="1"/>
  <c r="I124" i="72" s="1"/>
  <c r="J125" i="72" s="1"/>
  <c r="E245" i="72"/>
  <c r="F245" i="72" s="1"/>
  <c r="G246" i="72" s="1"/>
  <c r="H247" i="72" s="1"/>
  <c r="I248" i="72" s="1"/>
  <c r="J249" i="72" s="1"/>
  <c r="E185" i="72"/>
  <c r="F185" i="72" s="1"/>
  <c r="G186" i="72" s="1"/>
  <c r="H187" i="72" s="1"/>
  <c r="E60" i="72"/>
  <c r="F60" i="72" s="1"/>
  <c r="E214" i="72"/>
  <c r="F214" i="72" s="1"/>
  <c r="G279" i="72"/>
  <c r="H280" i="72" s="1"/>
  <c r="E27" i="72"/>
  <c r="F27" i="72" s="1"/>
  <c r="E90" i="72"/>
  <c r="F90" i="72" s="1"/>
  <c r="E153" i="72"/>
  <c r="F153" i="72" s="1"/>
  <c r="G91" i="72" l="1"/>
  <c r="H92" i="72" s="1"/>
  <c r="I93" i="72" s="1"/>
  <c r="J94" i="72" s="1"/>
  <c r="E186" i="72"/>
  <c r="F186" i="72" s="1"/>
  <c r="G187" i="72" s="1"/>
  <c r="E187" i="72" s="1"/>
  <c r="F187" i="72" s="1"/>
  <c r="G28" i="72"/>
  <c r="H29" i="72" s="1"/>
  <c r="I30" i="72" s="1"/>
  <c r="J31" i="72" s="1"/>
  <c r="K32" i="72" s="1"/>
  <c r="E246" i="72"/>
  <c r="F246" i="72" s="1"/>
  <c r="E279" i="72"/>
  <c r="F279" i="72" s="1"/>
  <c r="G280" i="72" s="1"/>
  <c r="E280" i="72" s="1"/>
  <c r="F280" i="72" s="1"/>
  <c r="G215" i="72"/>
  <c r="H216" i="72" s="1"/>
  <c r="I217" i="72" s="1"/>
  <c r="J218" i="72" s="1"/>
  <c r="E122" i="72"/>
  <c r="F122" i="72" s="1"/>
  <c r="G154" i="72"/>
  <c r="H155" i="72" s="1"/>
  <c r="I156" i="72" s="1"/>
  <c r="G61" i="72"/>
  <c r="H62" i="72" s="1"/>
  <c r="I63" i="72" s="1"/>
  <c r="E61" i="72" l="1"/>
  <c r="F61" i="72" s="1"/>
  <c r="G62" i="72" s="1"/>
  <c r="H63" i="72" s="1"/>
  <c r="E215" i="72"/>
  <c r="F215" i="72" s="1"/>
  <c r="G216" i="72" s="1"/>
  <c r="H217" i="72" s="1"/>
  <c r="I218" i="72" s="1"/>
  <c r="G247" i="72"/>
  <c r="H248" i="72" s="1"/>
  <c r="I249" i="72" s="1"/>
  <c r="E28" i="72"/>
  <c r="F28" i="72" s="1"/>
  <c r="G123" i="72"/>
  <c r="H124" i="72" s="1"/>
  <c r="I125" i="72" s="1"/>
  <c r="E154" i="72"/>
  <c r="F154" i="72" s="1"/>
  <c r="E91" i="72"/>
  <c r="F91" i="72" s="1"/>
  <c r="G155" i="72" l="1"/>
  <c r="H156" i="72" s="1"/>
  <c r="E62" i="72"/>
  <c r="F62" i="72" s="1"/>
  <c r="E123" i="72"/>
  <c r="F123" i="72" s="1"/>
  <c r="G29" i="72"/>
  <c r="H30" i="72" s="1"/>
  <c r="I31" i="72" s="1"/>
  <c r="J32" i="72" s="1"/>
  <c r="E247" i="72"/>
  <c r="F247" i="72" s="1"/>
  <c r="G92" i="72"/>
  <c r="H93" i="72" s="1"/>
  <c r="I94" i="72" s="1"/>
  <c r="E216" i="72"/>
  <c r="F216" i="72" s="1"/>
  <c r="E92" i="72" l="1"/>
  <c r="F92" i="72" s="1"/>
  <c r="G217" i="72"/>
  <c r="H218" i="72" s="1"/>
  <c r="G248" i="72"/>
  <c r="H249" i="72" s="1"/>
  <c r="E29" i="72"/>
  <c r="F29" i="72" s="1"/>
  <c r="G124" i="72"/>
  <c r="H125" i="72" s="1"/>
  <c r="G63" i="72"/>
  <c r="E63" i="72" s="1"/>
  <c r="F63" i="72" s="1"/>
  <c r="E155" i="72"/>
  <c r="F155" i="72" s="1"/>
  <c r="AL63" i="72" l="1"/>
  <c r="G156" i="72"/>
  <c r="E156" i="72" s="1"/>
  <c r="F156" i="72" s="1"/>
  <c r="E124" i="72"/>
  <c r="F124" i="72" s="1"/>
  <c r="G30" i="72"/>
  <c r="H31" i="72" s="1"/>
  <c r="I32" i="72" s="1"/>
  <c r="E248" i="72"/>
  <c r="F248" i="72" s="1"/>
  <c r="G249" i="72" s="1"/>
  <c r="E249" i="72" s="1"/>
  <c r="F249" i="72" s="1"/>
  <c r="E217" i="72"/>
  <c r="F217" i="72" s="1"/>
  <c r="G218" i="72" s="1"/>
  <c r="E218" i="72" s="1"/>
  <c r="F218" i="72" s="1"/>
  <c r="G93" i="72"/>
  <c r="H94" i="72" s="1"/>
  <c r="E30" i="72" l="1"/>
  <c r="F30" i="72" s="1"/>
  <c r="G125" i="72"/>
  <c r="E125" i="72" s="1"/>
  <c r="F125" i="72" s="1"/>
  <c r="AL125" i="72" s="1"/>
  <c r="E93" i="72"/>
  <c r="F93" i="72" s="1"/>
  <c r="G94" i="72" s="1"/>
  <c r="E94" i="72" s="1"/>
  <c r="F94" i="72" s="1"/>
  <c r="AL94" i="72" s="1"/>
  <c r="AL127" i="72" l="1"/>
  <c r="G31" i="72"/>
  <c r="H32" i="72" s="1"/>
  <c r="E31" i="72" l="1"/>
  <c r="F31" i="72" s="1"/>
  <c r="G32" i="72" s="1"/>
  <c r="E32" i="72" l="1"/>
  <c r="F32" i="72" s="1"/>
  <c r="D27" i="26" s="1" a="1"/>
  <c r="D27" i="26" s="1"/>
  <c r="H26" i="26" l="1" a="1"/>
  <c r="H26" i="26" s="1"/>
  <c r="I210" i="35" s="1"/>
  <c r="E28" i="26" a="1"/>
  <c r="E28" i="26" s="1"/>
  <c r="I191" i="35" s="1"/>
  <c r="J35" i="37" s="1"/>
  <c r="G29" i="26" a="1"/>
  <c r="G29" i="26" s="1"/>
  <c r="H213" i="35" s="1"/>
  <c r="I42" i="58" s="1"/>
  <c r="D26" i="26" a="1"/>
  <c r="D26" i="26" s="1"/>
  <c r="H189" i="35" s="1"/>
  <c r="I28" i="37" s="1"/>
  <c r="D41" i="26" a="1"/>
  <c r="D41" i="26" s="1"/>
  <c r="H204" i="35" s="1"/>
  <c r="I89" i="37" s="1"/>
  <c r="F32" i="26" a="1"/>
  <c r="F32" i="26" s="1"/>
  <c r="G216" i="35" s="1"/>
  <c r="H53" i="58" s="1"/>
  <c r="H53" i="41" s="1"/>
  <c r="G27" i="26" a="1"/>
  <c r="G27" i="26" s="1"/>
  <c r="G33" i="26" a="1"/>
  <c r="G33" i="26" s="1"/>
  <c r="H217" i="35" s="1"/>
  <c r="I55" i="58" s="1"/>
  <c r="D30" i="26" a="1"/>
  <c r="D30" i="26" s="1"/>
  <c r="H193" i="35" s="1"/>
  <c r="I46" i="37" s="1"/>
  <c r="H38" i="26" a="1"/>
  <c r="H38" i="26" s="1"/>
  <c r="I222" i="35" s="1"/>
  <c r="J75" i="58" s="1"/>
  <c r="G25" i="26" a="1"/>
  <c r="G25" i="26" s="1"/>
  <c r="H209" i="35" s="1"/>
  <c r="I26" i="58" s="1"/>
  <c r="H30" i="26" a="1"/>
  <c r="H30" i="26" s="1"/>
  <c r="I214" i="35" s="1"/>
  <c r="J46" i="58" s="1"/>
  <c r="E38" i="26" a="1"/>
  <c r="E38" i="26" s="1"/>
  <c r="I201" i="35" s="1"/>
  <c r="J78" i="37" s="1"/>
  <c r="E34" i="26" a="1"/>
  <c r="E34" i="26" s="1"/>
  <c r="I197" i="35" s="1"/>
  <c r="J60" i="37" s="1"/>
  <c r="E27" i="26" a="1"/>
  <c r="E27" i="26" s="1"/>
  <c r="I190" i="35" s="1"/>
  <c r="G32" i="26" a="1"/>
  <c r="G32" i="26" s="1"/>
  <c r="H216" i="35" s="1"/>
  <c r="I53" i="58" s="1"/>
  <c r="E33" i="26" a="1"/>
  <c r="E33" i="26" s="1"/>
  <c r="I196" i="35" s="1"/>
  <c r="J58" i="37" s="1"/>
  <c r="E23" i="26" a="1"/>
  <c r="E23" i="26" s="1"/>
  <c r="I186" i="35" s="1"/>
  <c r="F33" i="26" a="1"/>
  <c r="F33" i="26" s="1"/>
  <c r="G217" i="35" s="1"/>
  <c r="H57" i="58" s="1"/>
  <c r="H57" i="41" s="1"/>
  <c r="F35" i="26" a="1"/>
  <c r="F35" i="26" s="1"/>
  <c r="G219" i="35" s="1"/>
  <c r="E36" i="26" a="1"/>
  <c r="E36" i="26" s="1"/>
  <c r="I199" i="35" s="1"/>
  <c r="J70" i="37" s="1"/>
  <c r="E29" i="26" a="1"/>
  <c r="E29" i="26" s="1"/>
  <c r="I192" i="35" s="1"/>
  <c r="J40" i="37" s="1"/>
  <c r="G41" i="26" a="1"/>
  <c r="G41" i="26" s="1"/>
  <c r="H225" i="35" s="1"/>
  <c r="I87" i="58" s="1"/>
  <c r="D33" i="26" a="1"/>
  <c r="D33" i="26" s="1"/>
  <c r="H196" i="35" s="1"/>
  <c r="I57" i="37" s="1"/>
  <c r="H28" i="26" a="1"/>
  <c r="H28" i="26" s="1"/>
  <c r="I212" i="35" s="1"/>
  <c r="J36" i="58" s="1"/>
  <c r="F25" i="26" a="1"/>
  <c r="F25" i="26" s="1"/>
  <c r="G209" i="35" s="1"/>
  <c r="H23" i="58" s="1"/>
  <c r="H23" i="41" s="1"/>
  <c r="G28" i="26" a="1"/>
  <c r="G28" i="26" s="1"/>
  <c r="H212" i="35" s="1"/>
  <c r="I37" i="58" s="1"/>
  <c r="D37" i="26" a="1"/>
  <c r="D37" i="26" s="1"/>
  <c r="H200" i="35" s="1"/>
  <c r="I71" i="37" s="1"/>
  <c r="F23" i="26" a="1"/>
  <c r="F23" i="26" s="1"/>
  <c r="G207" i="35" s="1"/>
  <c r="F24" i="26" a="1"/>
  <c r="F24" i="26" s="1"/>
  <c r="G208" i="35" s="1"/>
  <c r="H21" i="58" s="1"/>
  <c r="H21" i="41" s="1"/>
  <c r="D31" i="26" a="1"/>
  <c r="D31" i="26" s="1"/>
  <c r="H194" i="35" s="1"/>
  <c r="D24" i="26" a="1"/>
  <c r="D24" i="26" s="1"/>
  <c r="H187" i="35" s="1"/>
  <c r="I19" i="37" s="1"/>
  <c r="D35" i="26" a="1"/>
  <c r="D35" i="26" s="1"/>
  <c r="H198" i="35" s="1"/>
  <c r="G31" i="26" a="1"/>
  <c r="G31" i="26" s="1"/>
  <c r="H215" i="35" s="1"/>
  <c r="H24" i="26" a="1"/>
  <c r="H24" i="26" s="1"/>
  <c r="I208" i="35" s="1"/>
  <c r="J21" i="58" s="1"/>
  <c r="G37" i="26" a="1"/>
  <c r="G37" i="26" s="1"/>
  <c r="H221" i="35" s="1"/>
  <c r="I74" i="58" s="1"/>
  <c r="H37" i="26" a="1"/>
  <c r="H37" i="26" s="1"/>
  <c r="I221" i="35" s="1"/>
  <c r="J73" i="58" s="1"/>
  <c r="G35" i="26" a="1"/>
  <c r="G35" i="26" s="1"/>
  <c r="H219" i="35" s="1"/>
  <c r="G38" i="26" a="1"/>
  <c r="G38" i="26" s="1"/>
  <c r="H222" i="35" s="1"/>
  <c r="I76" i="58" s="1"/>
  <c r="D25" i="26" a="1"/>
  <c r="D25" i="26" s="1"/>
  <c r="H188" i="35" s="1"/>
  <c r="I24" i="37" s="1"/>
  <c r="H39" i="26" a="1"/>
  <c r="H39" i="26" s="1"/>
  <c r="I223" i="35" s="1"/>
  <c r="F34" i="26" a="1"/>
  <c r="F34" i="26" s="1"/>
  <c r="G218" i="35" s="1"/>
  <c r="H62" i="58" s="1"/>
  <c r="H62" i="41" s="1"/>
  <c r="E40" i="26" a="1"/>
  <c r="E40" i="26" s="1"/>
  <c r="I203" i="35" s="1"/>
  <c r="J83" i="37" s="1"/>
  <c r="E31" i="26" a="1"/>
  <c r="E31" i="26" s="1"/>
  <c r="I194" i="35" s="1"/>
  <c r="E25" i="26" a="1"/>
  <c r="E25" i="26" s="1"/>
  <c r="I188" i="35" s="1"/>
  <c r="J25" i="37" s="1"/>
  <c r="D38" i="26" a="1"/>
  <c r="D38" i="26" s="1"/>
  <c r="H201" i="35" s="1"/>
  <c r="I75" i="37" s="1"/>
  <c r="J27" i="58"/>
  <c r="J29" i="58"/>
  <c r="J30" i="58"/>
  <c r="J28" i="58"/>
  <c r="H211" i="35"/>
  <c r="AL32" i="72"/>
  <c r="E42" i="26" a="1"/>
  <c r="E42" i="26" s="1"/>
  <c r="I205" i="35" s="1"/>
  <c r="G36" i="26" a="1"/>
  <c r="G36" i="26" s="1"/>
  <c r="H220" i="35" s="1"/>
  <c r="F27" i="26" a="1"/>
  <c r="F27" i="26" s="1"/>
  <c r="G30" i="26" a="1"/>
  <c r="G30" i="26" s="1"/>
  <c r="H214" i="35" s="1"/>
  <c r="D34" i="26" a="1"/>
  <c r="D34" i="26" s="1"/>
  <c r="H197" i="35" s="1"/>
  <c r="E35" i="26" a="1"/>
  <c r="E35" i="26" s="1"/>
  <c r="G40" i="26" a="1"/>
  <c r="G40" i="26" s="1"/>
  <c r="H224" i="35" s="1"/>
  <c r="F42" i="26" a="1"/>
  <c r="F42" i="26" s="1"/>
  <c r="G226" i="35" s="1"/>
  <c r="D29" i="26" a="1"/>
  <c r="D29" i="26" s="1"/>
  <c r="H192" i="35" s="1"/>
  <c r="D42" i="26" a="1"/>
  <c r="D42" i="26" s="1"/>
  <c r="H205" i="35" s="1"/>
  <c r="E32" i="26" a="1"/>
  <c r="E32" i="26" s="1"/>
  <c r="I195" i="35" s="1"/>
  <c r="E24" i="26" a="1"/>
  <c r="E24" i="26" s="1"/>
  <c r="I187" i="35" s="1"/>
  <c r="H34" i="26" a="1"/>
  <c r="H34" i="26" s="1"/>
  <c r="I218" i="35" s="1"/>
  <c r="D40" i="26" a="1"/>
  <c r="D40" i="26" s="1"/>
  <c r="H203" i="35" s="1"/>
  <c r="G26" i="26" a="1"/>
  <c r="G26" i="26" s="1"/>
  <c r="H210" i="35" s="1"/>
  <c r="D23" i="26" a="1"/>
  <c r="D23" i="26" s="1"/>
  <c r="H35" i="26" a="1"/>
  <c r="H35" i="26" s="1"/>
  <c r="F29" i="26" a="1"/>
  <c r="F29" i="26" s="1"/>
  <c r="G213" i="35" s="1"/>
  <c r="E39" i="26" a="1"/>
  <c r="E39" i="26" s="1"/>
  <c r="G34" i="26" a="1"/>
  <c r="G34" i="26" s="1"/>
  <c r="H218" i="35" s="1"/>
  <c r="H36" i="26" a="1"/>
  <c r="H36" i="26" s="1"/>
  <c r="I220" i="35" s="1"/>
  <c r="G23" i="26" a="1"/>
  <c r="G23" i="26" s="1"/>
  <c r="F26" i="26" a="1"/>
  <c r="F26" i="26" s="1"/>
  <c r="G210" i="35" s="1"/>
  <c r="H29" i="26" a="1"/>
  <c r="H29" i="26" s="1"/>
  <c r="I213" i="35" s="1"/>
  <c r="G24" i="26" a="1"/>
  <c r="G24" i="26" s="1"/>
  <c r="H208" i="35" s="1"/>
  <c r="F37" i="26" a="1"/>
  <c r="F37" i="26" s="1"/>
  <c r="G221" i="35" s="1"/>
  <c r="F39" i="26" a="1"/>
  <c r="F39" i="26" s="1"/>
  <c r="E37" i="26" a="1"/>
  <c r="E37" i="26" s="1"/>
  <c r="I200" i="35" s="1"/>
  <c r="H32" i="26" a="1"/>
  <c r="H32" i="26" s="1"/>
  <c r="I216" i="35" s="1"/>
  <c r="E41" i="26" a="1"/>
  <c r="E41" i="26" s="1"/>
  <c r="I204" i="35" s="1"/>
  <c r="H33" i="26" a="1"/>
  <c r="H33" i="26" s="1"/>
  <c r="I217" i="35" s="1"/>
  <c r="H41" i="26" a="1"/>
  <c r="H41" i="26" s="1"/>
  <c r="I225" i="35" s="1"/>
  <c r="H23" i="26" a="1"/>
  <c r="H23" i="26" s="1"/>
  <c r="F31" i="26" a="1"/>
  <c r="F31" i="26" s="1"/>
  <c r="H25" i="26" a="1"/>
  <c r="H25" i="26" s="1"/>
  <c r="I209" i="35" s="1"/>
  <c r="H40" i="26" a="1"/>
  <c r="H40" i="26" s="1"/>
  <c r="I224" i="35" s="1"/>
  <c r="G42" i="26" a="1"/>
  <c r="G42" i="26" s="1"/>
  <c r="H226" i="35" s="1"/>
  <c r="F30" i="26" a="1"/>
  <c r="F30" i="26" s="1"/>
  <c r="G214" i="35" s="1"/>
  <c r="E30" i="26" a="1"/>
  <c r="E30" i="26" s="1"/>
  <c r="I193" i="35" s="1"/>
  <c r="G39" i="26" a="1"/>
  <c r="G39" i="26" s="1"/>
  <c r="D32" i="26" a="1"/>
  <c r="D32" i="26" s="1"/>
  <c r="H195" i="35" s="1"/>
  <c r="H27" i="26" a="1"/>
  <c r="H27" i="26" s="1"/>
  <c r="F41" i="26" a="1"/>
  <c r="F41" i="26" s="1"/>
  <c r="G225" i="35" s="1"/>
  <c r="D28" i="26" a="1"/>
  <c r="D28" i="26" s="1"/>
  <c r="H191" i="35" s="1"/>
  <c r="D39" i="26" a="1"/>
  <c r="D39" i="26" s="1"/>
  <c r="F40" i="26" a="1"/>
  <c r="F40" i="26" s="1"/>
  <c r="G224" i="35" s="1"/>
  <c r="F38" i="26" a="1"/>
  <c r="F38" i="26" s="1"/>
  <c r="G222" i="35" s="1"/>
  <c r="H31" i="26" a="1"/>
  <c r="H31" i="26" s="1"/>
  <c r="D36" i="26" a="1"/>
  <c r="D36" i="26" s="1"/>
  <c r="H199" i="35" s="1"/>
  <c r="H42" i="26" a="1"/>
  <c r="H42" i="26" s="1"/>
  <c r="I226" i="35" s="1"/>
  <c r="F36" i="26" a="1"/>
  <c r="F36" i="26" s="1"/>
  <c r="G220" i="35" s="1"/>
  <c r="F28" i="26" a="1"/>
  <c r="F28" i="26" s="1"/>
  <c r="G212" i="35" s="1"/>
  <c r="E26" i="26" a="1"/>
  <c r="E26" i="26" s="1"/>
  <c r="I189" i="35" s="1"/>
  <c r="H190" i="35"/>
  <c r="J38" i="37" l="1"/>
  <c r="I57" i="58"/>
  <c r="I57" i="41" s="1"/>
  <c r="I58" i="58"/>
  <c r="I56" i="58"/>
  <c r="I41" i="58"/>
  <c r="I40" i="58"/>
  <c r="I39" i="58"/>
  <c r="I51" i="58"/>
  <c r="J69" i="37"/>
  <c r="I43" i="37"/>
  <c r="I45" i="37"/>
  <c r="I44" i="37"/>
  <c r="J67" i="37"/>
  <c r="J68" i="37"/>
  <c r="J37" i="37"/>
  <c r="J36" i="37"/>
  <c r="J36" i="41" s="1"/>
  <c r="J61" i="37"/>
  <c r="J62" i="37"/>
  <c r="J59" i="37"/>
  <c r="I88" i="37"/>
  <c r="I87" i="37"/>
  <c r="I87" i="41" s="1"/>
  <c r="I90" i="37"/>
  <c r="J55" i="37"/>
  <c r="J57" i="37"/>
  <c r="J56" i="37"/>
  <c r="I38" i="58"/>
  <c r="I89" i="58"/>
  <c r="I89" i="41" s="1"/>
  <c r="J41" i="37"/>
  <c r="J76" i="58"/>
  <c r="J42" i="37"/>
  <c r="J77" i="58"/>
  <c r="I90" i="58"/>
  <c r="I88" i="58"/>
  <c r="J78" i="58"/>
  <c r="J78" i="41" s="1"/>
  <c r="J39" i="37"/>
  <c r="I23" i="58"/>
  <c r="I24" i="58"/>
  <c r="I24" i="41" s="1"/>
  <c r="I25" i="58"/>
  <c r="J44" i="58"/>
  <c r="I58" i="37"/>
  <c r="I55" i="37"/>
  <c r="I55" i="41" s="1"/>
  <c r="J45" i="58"/>
  <c r="J43" i="58"/>
  <c r="I56" i="37"/>
  <c r="I30" i="37"/>
  <c r="I29" i="37"/>
  <c r="I52" i="58"/>
  <c r="I27" i="37"/>
  <c r="I54" i="58"/>
  <c r="I72" i="37"/>
  <c r="J20" i="58"/>
  <c r="I36" i="58"/>
  <c r="I35" i="58"/>
  <c r="H20" i="58"/>
  <c r="H20" i="41" s="1"/>
  <c r="H51" i="58"/>
  <c r="H51" i="41" s="1"/>
  <c r="H52" i="58"/>
  <c r="H52" i="41" s="1"/>
  <c r="H54" i="58"/>
  <c r="H54" i="41" s="1"/>
  <c r="H19" i="58"/>
  <c r="H19" i="41" s="1"/>
  <c r="H22" i="58"/>
  <c r="H22" i="41" s="1"/>
  <c r="H56" i="58"/>
  <c r="H56" i="41" s="1"/>
  <c r="H58" i="58"/>
  <c r="H58" i="41" s="1"/>
  <c r="H55" i="58"/>
  <c r="H55" i="41" s="1"/>
  <c r="J77" i="37"/>
  <c r="I74" i="37"/>
  <c r="I74" i="41" s="1"/>
  <c r="I73" i="37"/>
  <c r="J76" i="37"/>
  <c r="J75" i="37"/>
  <c r="J75" i="41" s="1"/>
  <c r="J19" i="58"/>
  <c r="I20" i="37"/>
  <c r="I22" i="37"/>
  <c r="I21" i="37"/>
  <c r="J71" i="58"/>
  <c r="J72" i="58"/>
  <c r="J35" i="58"/>
  <c r="J35" i="41" s="1"/>
  <c r="J38" i="58"/>
  <c r="J37" i="58"/>
  <c r="I78" i="58"/>
  <c r="J22" i="58"/>
  <c r="H26" i="58"/>
  <c r="H26" i="41" s="1"/>
  <c r="H25" i="58"/>
  <c r="H25" i="41" s="1"/>
  <c r="H24" i="58"/>
  <c r="H24" i="41" s="1"/>
  <c r="J74" i="58"/>
  <c r="I77" i="58"/>
  <c r="I25" i="37"/>
  <c r="I71" i="58"/>
  <c r="I71" i="41" s="1"/>
  <c r="I75" i="58"/>
  <c r="I75" i="41" s="1"/>
  <c r="I73" i="58"/>
  <c r="I72" i="58"/>
  <c r="I77" i="37"/>
  <c r="I78" i="37"/>
  <c r="J26" i="37"/>
  <c r="J24" i="37"/>
  <c r="J86" i="37"/>
  <c r="I23" i="37"/>
  <c r="J84" i="37"/>
  <c r="I26" i="37"/>
  <c r="I26" i="41" s="1"/>
  <c r="I76" i="37"/>
  <c r="I76" i="41" s="1"/>
  <c r="J23" i="37"/>
  <c r="C51" i="26"/>
  <c r="J85" i="37"/>
  <c r="H61" i="58"/>
  <c r="H61" i="41" s="1"/>
  <c r="H60" i="58"/>
  <c r="H60" i="41" s="1"/>
  <c r="H59" i="58"/>
  <c r="H59" i="41" s="1"/>
  <c r="C52" i="26"/>
  <c r="H69" i="58"/>
  <c r="H69" i="41" s="1"/>
  <c r="H70" i="58"/>
  <c r="H70" i="41" s="1"/>
  <c r="H67" i="58"/>
  <c r="H67" i="41" s="1"/>
  <c r="H68" i="58"/>
  <c r="H68" i="41" s="1"/>
  <c r="J45" i="37"/>
  <c r="J46" i="37"/>
  <c r="J46" i="41" s="1"/>
  <c r="J44" i="37"/>
  <c r="J43" i="37"/>
  <c r="G223" i="35"/>
  <c r="E54" i="26"/>
  <c r="H54" i="26" s="1"/>
  <c r="I28" i="58"/>
  <c r="I28" i="41" s="1"/>
  <c r="I27" i="58"/>
  <c r="I29" i="58"/>
  <c r="I30" i="58"/>
  <c r="G211" i="35"/>
  <c r="E51" i="26"/>
  <c r="H51" i="26" s="1"/>
  <c r="H71" i="58"/>
  <c r="H71" i="41" s="1"/>
  <c r="H74" i="58"/>
  <c r="H74" i="41" s="1"/>
  <c r="H73" i="58"/>
  <c r="H73" i="41" s="1"/>
  <c r="H72" i="58"/>
  <c r="H72" i="41" s="1"/>
  <c r="I83" i="37"/>
  <c r="I85" i="37"/>
  <c r="I84" i="37"/>
  <c r="I86" i="37"/>
  <c r="I68" i="58"/>
  <c r="I67" i="58"/>
  <c r="I70" i="58"/>
  <c r="I69" i="58"/>
  <c r="I94" i="58"/>
  <c r="I93" i="58"/>
  <c r="I92" i="58"/>
  <c r="I91" i="58"/>
  <c r="I21" i="58"/>
  <c r="I20" i="58"/>
  <c r="I22" i="58"/>
  <c r="I19" i="58"/>
  <c r="I19" i="41" s="1"/>
  <c r="J62" i="58"/>
  <c r="J60" i="58"/>
  <c r="J60" i="41" s="1"/>
  <c r="J59" i="58"/>
  <c r="J61" i="58"/>
  <c r="J91" i="37"/>
  <c r="J94" i="37"/>
  <c r="J93" i="37"/>
  <c r="J92" i="37"/>
  <c r="G54" i="26"/>
  <c r="I68" i="37"/>
  <c r="I69" i="37"/>
  <c r="I67" i="37"/>
  <c r="I70" i="37"/>
  <c r="I215" i="35"/>
  <c r="G52" i="26"/>
  <c r="J86" i="58"/>
  <c r="J85" i="58"/>
  <c r="J84" i="58"/>
  <c r="J83" i="58"/>
  <c r="J83" i="41" s="1"/>
  <c r="J41" i="58"/>
  <c r="J40" i="58"/>
  <c r="J40" i="41" s="1"/>
  <c r="J42" i="58"/>
  <c r="J39" i="58"/>
  <c r="J21" i="37"/>
  <c r="J21" i="41" s="1"/>
  <c r="J19" i="37"/>
  <c r="J22" i="37"/>
  <c r="J20" i="37"/>
  <c r="J81" i="58"/>
  <c r="J82" i="58"/>
  <c r="J79" i="58"/>
  <c r="J80" i="58"/>
  <c r="I34" i="37"/>
  <c r="I32" i="37"/>
  <c r="I31" i="37"/>
  <c r="I33" i="37"/>
  <c r="H77" i="58"/>
  <c r="H77" i="41" s="1"/>
  <c r="H76" i="58"/>
  <c r="H76" i="41" s="1"/>
  <c r="H78" i="58"/>
  <c r="H78" i="41" s="1"/>
  <c r="H75" i="58"/>
  <c r="H75" i="41" s="1"/>
  <c r="J25" i="58"/>
  <c r="J25" i="41" s="1"/>
  <c r="J26" i="58"/>
  <c r="J24" i="58"/>
  <c r="J23" i="58"/>
  <c r="H27" i="58"/>
  <c r="H27" i="41" s="1"/>
  <c r="H30" i="58"/>
  <c r="H30" i="41" s="1"/>
  <c r="H28" i="58"/>
  <c r="H28" i="41" s="1"/>
  <c r="H29" i="58"/>
  <c r="H29" i="41" s="1"/>
  <c r="J51" i="37"/>
  <c r="J53" i="37"/>
  <c r="J52" i="37"/>
  <c r="J54" i="37"/>
  <c r="H45" i="58"/>
  <c r="H45" i="41" s="1"/>
  <c r="H46" i="58"/>
  <c r="H46" i="41" s="1"/>
  <c r="H44" i="58"/>
  <c r="H44" i="41" s="1"/>
  <c r="H43" i="58"/>
  <c r="H43" i="41" s="1"/>
  <c r="H83" i="58"/>
  <c r="H83" i="41" s="1"/>
  <c r="H85" i="58"/>
  <c r="H85" i="41" s="1"/>
  <c r="H84" i="58"/>
  <c r="H84" i="41" s="1"/>
  <c r="H86" i="58"/>
  <c r="H86" i="41" s="1"/>
  <c r="G215" i="35"/>
  <c r="E52" i="26"/>
  <c r="H52" i="26" s="1"/>
  <c r="H207" i="35"/>
  <c r="F50" i="26"/>
  <c r="I92" i="37"/>
  <c r="I91" i="37"/>
  <c r="I93" i="37"/>
  <c r="I94" i="37"/>
  <c r="J94" i="58"/>
  <c r="J93" i="58"/>
  <c r="J91" i="58"/>
  <c r="J92" i="58"/>
  <c r="C54" i="26"/>
  <c r="H202" i="35"/>
  <c r="G50" i="26"/>
  <c r="I207" i="35"/>
  <c r="J68" i="58"/>
  <c r="J70" i="58"/>
  <c r="J70" i="41" s="1"/>
  <c r="J67" i="58"/>
  <c r="J69" i="58"/>
  <c r="I39" i="37"/>
  <c r="I42" i="37"/>
  <c r="I42" i="41" s="1"/>
  <c r="I41" i="37"/>
  <c r="I40" i="37"/>
  <c r="D51" i="26"/>
  <c r="I49" i="37"/>
  <c r="I48" i="37"/>
  <c r="I47" i="37"/>
  <c r="I50" i="37"/>
  <c r="I35" i="37"/>
  <c r="I37" i="37"/>
  <c r="I37" i="41" s="1"/>
  <c r="I38" i="37"/>
  <c r="I36" i="37"/>
  <c r="J89" i="58"/>
  <c r="J88" i="58"/>
  <c r="J90" i="58"/>
  <c r="J87" i="58"/>
  <c r="I60" i="58"/>
  <c r="I62" i="58"/>
  <c r="I59" i="58"/>
  <c r="I61" i="58"/>
  <c r="H92" i="58"/>
  <c r="H92" i="41" s="1"/>
  <c r="H93" i="58"/>
  <c r="H93" i="41" s="1"/>
  <c r="H94" i="58"/>
  <c r="H94" i="41" s="1"/>
  <c r="H91" i="58"/>
  <c r="H91" i="41" s="1"/>
  <c r="J32" i="37"/>
  <c r="J31" i="37"/>
  <c r="J33" i="37"/>
  <c r="J34" i="37"/>
  <c r="H89" i="58"/>
  <c r="H89" i="41" s="1"/>
  <c r="H90" i="58"/>
  <c r="H90" i="41" s="1"/>
  <c r="H87" i="58"/>
  <c r="H87" i="41" s="1"/>
  <c r="H88" i="58"/>
  <c r="H88" i="41" s="1"/>
  <c r="J57" i="58"/>
  <c r="J56" i="58"/>
  <c r="J58" i="58"/>
  <c r="J58" i="41" s="1"/>
  <c r="J55" i="58"/>
  <c r="I202" i="35"/>
  <c r="D54" i="26"/>
  <c r="I83" i="58"/>
  <c r="I86" i="58"/>
  <c r="I85" i="58"/>
  <c r="I84" i="58"/>
  <c r="F52" i="26"/>
  <c r="H17" i="58"/>
  <c r="H16" i="58"/>
  <c r="H15" i="58"/>
  <c r="H18" i="58"/>
  <c r="H18" i="41" s="1"/>
  <c r="J18" i="37"/>
  <c r="J17" i="37"/>
  <c r="J16" i="37"/>
  <c r="J15" i="37"/>
  <c r="F51" i="26"/>
  <c r="F53" i="26"/>
  <c r="I211" i="35"/>
  <c r="G51" i="26"/>
  <c r="J89" i="37"/>
  <c r="J88" i="37"/>
  <c r="J87" i="37"/>
  <c r="J90" i="37"/>
  <c r="H41" i="58"/>
  <c r="H41" i="41" s="1"/>
  <c r="H40" i="58"/>
  <c r="H40" i="41" s="1"/>
  <c r="H42" i="58"/>
  <c r="H42" i="41" s="1"/>
  <c r="H39" i="58"/>
  <c r="H39" i="41" s="1"/>
  <c r="D53" i="26"/>
  <c r="I198" i="35"/>
  <c r="I47" i="58"/>
  <c r="I50" i="58"/>
  <c r="I48" i="58"/>
  <c r="I49" i="58"/>
  <c r="E50" i="26"/>
  <c r="H50" i="26" s="1"/>
  <c r="D50" i="26"/>
  <c r="I34" i="58"/>
  <c r="I33" i="58"/>
  <c r="I32" i="58"/>
  <c r="I31" i="58"/>
  <c r="I64" i="58"/>
  <c r="I63" i="58"/>
  <c r="I65" i="58"/>
  <c r="I66" i="58"/>
  <c r="J29" i="37"/>
  <c r="J29" i="41" s="1"/>
  <c r="J28" i="37"/>
  <c r="J28" i="41" s="1"/>
  <c r="J27" i="37"/>
  <c r="J27" i="41" s="1"/>
  <c r="J30" i="37"/>
  <c r="J30" i="41" s="1"/>
  <c r="I53" i="37"/>
  <c r="I53" i="41" s="1"/>
  <c r="I52" i="37"/>
  <c r="I51" i="37"/>
  <c r="I54" i="37"/>
  <c r="J51" i="58"/>
  <c r="J53" i="58"/>
  <c r="J54" i="58"/>
  <c r="J52" i="58"/>
  <c r="I219" i="35"/>
  <c r="G53" i="26"/>
  <c r="I62" i="37"/>
  <c r="I60" i="37"/>
  <c r="I61" i="37"/>
  <c r="I59" i="37"/>
  <c r="C53" i="26"/>
  <c r="D52" i="26"/>
  <c r="E53" i="26"/>
  <c r="H53" i="26" s="1"/>
  <c r="H35" i="58"/>
  <c r="H35" i="41" s="1"/>
  <c r="H37" i="58"/>
  <c r="H37" i="41" s="1"/>
  <c r="H38" i="58"/>
  <c r="H38" i="41" s="1"/>
  <c r="H36" i="58"/>
  <c r="H36" i="41" s="1"/>
  <c r="H223" i="35"/>
  <c r="F54" i="26"/>
  <c r="J74" i="37"/>
  <c r="J71" i="37"/>
  <c r="J72" i="37"/>
  <c r="J73" i="37"/>
  <c r="J73" i="41" s="1"/>
  <c r="H186" i="35"/>
  <c r="C50" i="26"/>
  <c r="I43" i="58"/>
  <c r="I46" i="58"/>
  <c r="I46" i="41" s="1"/>
  <c r="I44" i="58"/>
  <c r="I45" i="58"/>
  <c r="I65" i="37"/>
  <c r="I64" i="37"/>
  <c r="I63" i="37"/>
  <c r="I66" i="37"/>
  <c r="J50" i="37"/>
  <c r="J49" i="37"/>
  <c r="J47" i="37"/>
  <c r="J48" i="37"/>
  <c r="H63" i="58"/>
  <c r="H63" i="41" s="1"/>
  <c r="H66" i="58"/>
  <c r="H66" i="41" s="1"/>
  <c r="H65" i="58"/>
  <c r="H65" i="41" s="1"/>
  <c r="H64" i="58"/>
  <c r="H64" i="41" s="1"/>
  <c r="J38" i="41" l="1"/>
  <c r="I56" i="41"/>
  <c r="I44" i="41"/>
  <c r="I58" i="41"/>
  <c r="J67" i="41"/>
  <c r="I40" i="41"/>
  <c r="I51" i="41"/>
  <c r="I39" i="41"/>
  <c r="I45" i="41"/>
  <c r="I41" i="41"/>
  <c r="I43" i="41"/>
  <c r="J59" i="41"/>
  <c r="J69" i="41"/>
  <c r="J37" i="41"/>
  <c r="J68" i="41"/>
  <c r="J43" i="41"/>
  <c r="J61" i="41"/>
  <c r="J62" i="41"/>
  <c r="I38" i="41"/>
  <c r="J56" i="41"/>
  <c r="I88" i="41"/>
  <c r="J39" i="41"/>
  <c r="I52" i="41"/>
  <c r="J55" i="41"/>
  <c r="J57" i="41"/>
  <c r="J45" i="41"/>
  <c r="I27" i="41"/>
  <c r="I23" i="41"/>
  <c r="J71" i="41"/>
  <c r="J42" i="41"/>
  <c r="I77" i="41"/>
  <c r="I90" i="41"/>
  <c r="I30" i="41"/>
  <c r="I36" i="41"/>
  <c r="J41" i="41"/>
  <c r="J77" i="41"/>
  <c r="J20" i="41"/>
  <c r="J44" i="41"/>
  <c r="I29" i="41"/>
  <c r="I25" i="41"/>
  <c r="I35" i="41"/>
  <c r="J76" i="41"/>
  <c r="I73" i="41"/>
  <c r="I54" i="41"/>
  <c r="I72" i="41"/>
  <c r="J19" i="41"/>
  <c r="I91" i="41"/>
  <c r="I92" i="41"/>
  <c r="I61" i="41"/>
  <c r="J23" i="41"/>
  <c r="I93" i="41"/>
  <c r="I51" i="26"/>
  <c r="I22" i="41"/>
  <c r="I20" i="41"/>
  <c r="J24" i="41"/>
  <c r="J86" i="41"/>
  <c r="I53" i="26"/>
  <c r="I52" i="26"/>
  <c r="J74" i="41"/>
  <c r="I21" i="41"/>
  <c r="J84" i="41"/>
  <c r="J72" i="41"/>
  <c r="I60" i="41"/>
  <c r="J22" i="41"/>
  <c r="J88" i="41"/>
  <c r="I94" i="41"/>
  <c r="I78" i="41"/>
  <c r="J50" i="26"/>
  <c r="J26" i="41"/>
  <c r="I69" i="41"/>
  <c r="I67" i="41"/>
  <c r="J85" i="41"/>
  <c r="J90" i="41"/>
  <c r="J54" i="26"/>
  <c r="J89" i="41"/>
  <c r="J52" i="26"/>
  <c r="I70" i="41"/>
  <c r="I66" i="41"/>
  <c r="I68" i="41"/>
  <c r="J87" i="41"/>
  <c r="I47" i="41"/>
  <c r="I64" i="41"/>
  <c r="I32" i="41"/>
  <c r="I63" i="41"/>
  <c r="I50" i="41"/>
  <c r="I31" i="41"/>
  <c r="I65" i="41"/>
  <c r="J34" i="58"/>
  <c r="J34" i="41" s="1"/>
  <c r="J31" i="58"/>
  <c r="J31" i="41" s="1"/>
  <c r="J32" i="58"/>
  <c r="J32" i="41" s="1"/>
  <c r="J33" i="58"/>
  <c r="J33" i="41" s="1"/>
  <c r="H16" i="41"/>
  <c r="I48" i="41"/>
  <c r="I15" i="58"/>
  <c r="I18" i="58"/>
  <c r="I17" i="58"/>
  <c r="I16" i="58"/>
  <c r="I34" i="41"/>
  <c r="I80" i="58"/>
  <c r="I81" i="58"/>
  <c r="I82" i="58"/>
  <c r="I79" i="58"/>
  <c r="J65" i="37"/>
  <c r="J66" i="37"/>
  <c r="J63" i="37"/>
  <c r="J64" i="37"/>
  <c r="H17" i="41"/>
  <c r="I49" i="41"/>
  <c r="H82" i="58"/>
  <c r="H82" i="41" s="1"/>
  <c r="H80" i="58"/>
  <c r="H80" i="41" s="1"/>
  <c r="H81" i="58"/>
  <c r="H81" i="41" s="1"/>
  <c r="H79" i="58"/>
  <c r="H79" i="41" s="1"/>
  <c r="I59" i="41"/>
  <c r="J53" i="26"/>
  <c r="H49" i="58"/>
  <c r="H49" i="41" s="1"/>
  <c r="H47" i="58"/>
  <c r="H47" i="41" s="1"/>
  <c r="H48" i="58"/>
  <c r="H48" i="41" s="1"/>
  <c r="H50" i="58"/>
  <c r="H50" i="41" s="1"/>
  <c r="H15" i="41"/>
  <c r="J54" i="41"/>
  <c r="J92" i="41"/>
  <c r="I62" i="41"/>
  <c r="J18" i="58"/>
  <c r="J18" i="41" s="1"/>
  <c r="J17" i="58"/>
  <c r="J17" i="41" s="1"/>
  <c r="J16" i="58"/>
  <c r="J15" i="58"/>
  <c r="J52" i="41"/>
  <c r="J93" i="41"/>
  <c r="I86" i="41"/>
  <c r="I50" i="26"/>
  <c r="J53" i="41"/>
  <c r="J94" i="41"/>
  <c r="I84" i="41"/>
  <c r="I15" i="37"/>
  <c r="I17" i="37"/>
  <c r="I16" i="37"/>
  <c r="I18" i="37"/>
  <c r="J63" i="58"/>
  <c r="J65" i="58"/>
  <c r="J64" i="58"/>
  <c r="J66" i="58"/>
  <c r="I81" i="37"/>
  <c r="I82" i="37"/>
  <c r="I80" i="37"/>
  <c r="I79" i="37"/>
  <c r="J51" i="41"/>
  <c r="J91" i="41"/>
  <c r="I85" i="41"/>
  <c r="H33" i="58"/>
  <c r="H33" i="41" s="1"/>
  <c r="H34" i="58"/>
  <c r="H34" i="41" s="1"/>
  <c r="H32" i="58"/>
  <c r="H32" i="41" s="1"/>
  <c r="H31" i="58"/>
  <c r="H31" i="41" s="1"/>
  <c r="J51" i="26"/>
  <c r="I54" i="26"/>
  <c r="J49" i="58"/>
  <c r="J49" i="41" s="1"/>
  <c r="J50" i="58"/>
  <c r="J50" i="41" s="1"/>
  <c r="J48" i="58"/>
  <c r="J48" i="41" s="1"/>
  <c r="J47" i="58"/>
  <c r="J47" i="41" s="1"/>
  <c r="I83" i="41"/>
  <c r="J80" i="37"/>
  <c r="J80" i="41" s="1"/>
  <c r="J82" i="37"/>
  <c r="J82" i="41" s="1"/>
  <c r="J81" i="37"/>
  <c r="J81" i="41" s="1"/>
  <c r="J79" i="37"/>
  <c r="J79" i="41" s="1"/>
  <c r="I33" i="41"/>
  <c r="I80" i="41" l="1"/>
  <c r="I18" i="41"/>
  <c r="I79" i="41"/>
  <c r="I81" i="41"/>
  <c r="I82" i="41"/>
  <c r="J66" i="41"/>
  <c r="J65" i="41"/>
  <c r="J63" i="41"/>
  <c r="I17" i="41"/>
  <c r="C18" i="63"/>
  <c r="I424" i="37"/>
  <c r="E17" i="53" s="1"/>
  <c r="F17" i="53" s="1"/>
  <c r="H23" i="53" s="1"/>
  <c r="I423" i="37"/>
  <c r="I15" i="41"/>
  <c r="I16" i="41"/>
  <c r="J423" i="58"/>
  <c r="J424" i="58"/>
  <c r="E35" i="53" s="1"/>
  <c r="F35" i="53" s="1"/>
  <c r="H29" i="53" s="1"/>
  <c r="C58" i="63"/>
  <c r="H424" i="58"/>
  <c r="C28" i="63"/>
  <c r="H423" i="58"/>
  <c r="J15" i="41"/>
  <c r="J16" i="41"/>
  <c r="J423" i="37"/>
  <c r="C38" i="63"/>
  <c r="C48" i="63"/>
  <c r="J424" i="37"/>
  <c r="E29" i="53" s="1"/>
  <c r="F29" i="53" s="1"/>
  <c r="J64" i="41"/>
  <c r="I423" i="58"/>
  <c r="I424" i="58"/>
  <c r="G242" i="66" s="1"/>
  <c r="G290" i="66" l="1"/>
  <c r="H35" i="53"/>
  <c r="G35" i="53" s="1"/>
  <c r="E341" i="38" s="1"/>
  <c r="G29" i="53"/>
  <c r="E329" i="38" s="1"/>
  <c r="J425" i="37"/>
  <c r="E335" i="38"/>
  <c r="N147" i="66" s="1"/>
  <c r="G147" i="66"/>
  <c r="J423" i="41"/>
  <c r="J425" i="58"/>
  <c r="G291" i="66"/>
  <c r="E347" i="38"/>
  <c r="N291" i="66" s="1"/>
  <c r="G98" i="66"/>
  <c r="E23" i="53"/>
  <c r="F23" i="53" s="1"/>
  <c r="E299" i="38"/>
  <c r="N195" i="66" s="1"/>
  <c r="N51" i="74" s="1"/>
  <c r="H425" i="58"/>
  <c r="H423" i="41"/>
  <c r="G195" i="66"/>
  <c r="I425" i="37"/>
  <c r="I423" i="41"/>
  <c r="G99" i="66"/>
  <c r="E311" i="38"/>
  <c r="N99" i="66" s="1"/>
  <c r="I424" i="41"/>
  <c r="I425" i="58"/>
  <c r="G243" i="66"/>
  <c r="E323" i="38"/>
  <c r="N243" i="66" s="1"/>
  <c r="H424" i="41"/>
  <c r="E11" i="53"/>
  <c r="F11" i="53" s="1"/>
  <c r="G194" i="66"/>
  <c r="G146" i="66"/>
  <c r="J424" i="41"/>
  <c r="N147" i="74" l="1"/>
  <c r="N99" i="74"/>
  <c r="O243" i="66"/>
  <c r="H17" i="53"/>
  <c r="G17" i="53" s="1"/>
  <c r="E305" i="38" s="1"/>
  <c r="G23" i="53"/>
  <c r="E317" i="38" s="1"/>
  <c r="O291" i="66"/>
  <c r="G98" i="74"/>
  <c r="C59" i="63"/>
  <c r="C49" i="63"/>
  <c r="G99" i="74"/>
  <c r="O99" i="66"/>
  <c r="C19" i="63"/>
  <c r="I425" i="41"/>
  <c r="G146" i="74"/>
  <c r="O195" i="66"/>
  <c r="G51" i="74"/>
  <c r="O147" i="66"/>
  <c r="G147" i="74"/>
  <c r="G50" i="74"/>
  <c r="G11" i="53"/>
  <c r="E293" i="38" s="1"/>
  <c r="H5" i="53"/>
  <c r="G5" i="53" s="1"/>
  <c r="E281" i="38" s="1"/>
  <c r="C32" i="63"/>
  <c r="C39" i="63"/>
  <c r="H425" i="41"/>
  <c r="M3" i="41" s="1"/>
  <c r="C29" i="63"/>
  <c r="J425" i="41"/>
  <c r="M146" i="66"/>
  <c r="J484" i="37"/>
  <c r="J484" i="58"/>
  <c r="M290" i="66"/>
  <c r="H484" i="37" l="1"/>
  <c r="M50" i="66"/>
  <c r="H484" i="58"/>
  <c r="M194" i="66"/>
  <c r="AA243" i="66"/>
  <c r="Z99" i="66"/>
  <c r="Z243" i="66"/>
  <c r="AA99" i="66"/>
  <c r="AC147" i="74"/>
  <c r="O147" i="74"/>
  <c r="Q146" i="66"/>
  <c r="M146" i="74"/>
  <c r="Q146" i="74" s="1"/>
  <c r="AA291" i="66"/>
  <c r="Z147" i="66"/>
  <c r="Z291" i="66"/>
  <c r="AA147" i="66"/>
  <c r="AC99" i="74"/>
  <c r="O99" i="74"/>
  <c r="O51" i="74"/>
  <c r="AC51" i="74"/>
  <c r="AA195" i="66"/>
  <c r="Z195" i="66"/>
  <c r="Z51" i="66"/>
  <c r="AA51" i="66"/>
  <c r="J484" i="41"/>
  <c r="O146" i="66"/>
  <c r="Q290" i="66"/>
  <c r="O290" i="66"/>
  <c r="I484" i="58"/>
  <c r="M242" i="66"/>
  <c r="I484" i="37"/>
  <c r="M98" i="66"/>
  <c r="AE147" i="74" l="1"/>
  <c r="AF147" i="74" s="1"/>
  <c r="AG147" i="74"/>
  <c r="AE51" i="74"/>
  <c r="AF51" i="74" s="1"/>
  <c r="AG51" i="74"/>
  <c r="AE99" i="74"/>
  <c r="AF99" i="74" s="1"/>
  <c r="AG99" i="74"/>
  <c r="I484" i="41"/>
  <c r="H484" i="41"/>
  <c r="Q242" i="66"/>
  <c r="O242" i="66"/>
  <c r="Z147" i="74"/>
  <c r="AA147" i="74"/>
  <c r="P290" i="66"/>
  <c r="Q98" i="66"/>
  <c r="M98" i="74"/>
  <c r="O98" i="66"/>
  <c r="AD147" i="74"/>
  <c r="AD51" i="74"/>
  <c r="Z51" i="74"/>
  <c r="AA51" i="74"/>
  <c r="AC146" i="74"/>
  <c r="Z99" i="74"/>
  <c r="AA99" i="74"/>
  <c r="O146" i="74"/>
  <c r="AD99" i="74"/>
  <c r="Z146" i="66"/>
  <c r="AA146" i="66"/>
  <c r="P146" i="66"/>
  <c r="AA290" i="66"/>
  <c r="Z290" i="66"/>
  <c r="S194" i="66"/>
  <c r="U194" i="66" s="1"/>
  <c r="Q194" i="66"/>
  <c r="W194" i="66" s="1"/>
  <c r="Y194" i="66" s="1"/>
  <c r="O194" i="66"/>
  <c r="Q50" i="66"/>
  <c r="W50" i="66" s="1"/>
  <c r="Y50" i="66" s="1"/>
  <c r="M50" i="74"/>
  <c r="O50" i="66"/>
  <c r="S50" i="66"/>
  <c r="U50" i="66" s="1"/>
  <c r="AE146" i="74" l="1"/>
  <c r="AG146" i="74"/>
  <c r="P194" i="66"/>
  <c r="V194" i="66" s="1"/>
  <c r="P242" i="66"/>
  <c r="V242" i="66" s="1"/>
  <c r="W146" i="66"/>
  <c r="Y146" i="66" s="1"/>
  <c r="R146" i="66"/>
  <c r="S146" i="66" s="1"/>
  <c r="U146" i="66" s="1"/>
  <c r="V146" i="66"/>
  <c r="Z242" i="66"/>
  <c r="P98" i="66"/>
  <c r="AA242" i="66"/>
  <c r="Z98" i="66"/>
  <c r="AA98" i="66"/>
  <c r="Q98" i="74"/>
  <c r="O98" i="74"/>
  <c r="AC98" i="74"/>
  <c r="AA194" i="66"/>
  <c r="Z50" i="66"/>
  <c r="P50" i="66"/>
  <c r="AA50" i="66"/>
  <c r="Z194" i="66"/>
  <c r="S50" i="74"/>
  <c r="U50" i="74" s="1"/>
  <c r="Q50" i="74"/>
  <c r="W50" i="74" s="1"/>
  <c r="Y50" i="74" s="1"/>
  <c r="O50" i="74"/>
  <c r="AC50" i="74"/>
  <c r="P146" i="74"/>
  <c r="AA146" i="74"/>
  <c r="Z146" i="74"/>
  <c r="R290" i="66"/>
  <c r="S290" i="66" s="1"/>
  <c r="U290" i="66" s="1"/>
  <c r="W290" i="66"/>
  <c r="Y290" i="66" s="1"/>
  <c r="V290" i="66"/>
  <c r="AD146" i="74"/>
  <c r="AE50" i="74" l="1"/>
  <c r="C46" i="77" s="1"/>
  <c r="C48" i="77" s="1"/>
  <c r="AG50" i="74"/>
  <c r="AE98" i="74"/>
  <c r="AG98" i="74"/>
  <c r="R194" i="66"/>
  <c r="R242" i="66"/>
  <c r="S242" i="66" s="1"/>
  <c r="U242" i="66" s="1"/>
  <c r="W242" i="66"/>
  <c r="Y242" i="66" s="1"/>
  <c r="Z98" i="74"/>
  <c r="P98" i="74"/>
  <c r="AA98" i="74"/>
  <c r="V146" i="74"/>
  <c r="R146" i="74"/>
  <c r="S146" i="74" s="1"/>
  <c r="U146" i="74" s="1"/>
  <c r="W146" i="74"/>
  <c r="Y146" i="74" s="1"/>
  <c r="AF146" i="74"/>
  <c r="AD50" i="74"/>
  <c r="C10" i="77"/>
  <c r="C12" i="77" s="1"/>
  <c r="AD98" i="74"/>
  <c r="AA50" i="74"/>
  <c r="P50" i="74"/>
  <c r="Z50" i="74"/>
  <c r="R98" i="66"/>
  <c r="S98" i="66" s="1"/>
  <c r="U98" i="66" s="1"/>
  <c r="V98" i="66"/>
  <c r="W98" i="66"/>
  <c r="Y98" i="66" s="1"/>
  <c r="V50" i="66"/>
  <c r="R50" i="66"/>
  <c r="AF50" i="74" l="1"/>
  <c r="AF98" i="74"/>
  <c r="V50" i="74"/>
  <c r="R50" i="74"/>
  <c r="V98" i="74"/>
  <c r="R98" i="74"/>
  <c r="S98" i="74" s="1"/>
  <c r="U98" i="74" s="1"/>
  <c r="W98" i="74"/>
  <c r="Y98" i="74" s="1"/>
  <c r="D45" i="17"/>
  <c r="D56" i="17" s="1"/>
  <c r="E56" i="17"/>
  <c r="E55" i="17"/>
  <c r="D42" i="17"/>
  <c r="D41" i="17"/>
  <c r="D38" i="17"/>
  <c r="D39" i="17"/>
  <c r="D37" i="17"/>
  <c r="D36" i="17"/>
  <c r="E46" i="17"/>
  <c r="D55" i="17" l="1"/>
  <c r="E47" i="17" a="1"/>
  <c r="E47" i="17" s="1"/>
  <c r="I45" i="20" s="1"/>
  <c r="D32" i="17"/>
  <c r="I17" i="20" l="1"/>
  <c r="I40" i="20"/>
  <c r="R18" i="20"/>
  <c r="I46" i="20"/>
  <c r="R44" i="20"/>
  <c r="R6" i="20"/>
  <c r="R36" i="20"/>
  <c r="R13" i="20"/>
  <c r="R7" i="20"/>
  <c r="R39" i="20"/>
  <c r="I14" i="20"/>
  <c r="I44" i="20"/>
  <c r="R34" i="20"/>
  <c r="R37" i="20"/>
  <c r="R9" i="20"/>
  <c r="I10" i="20"/>
  <c r="I15" i="20"/>
  <c r="I19" i="20"/>
  <c r="I18" i="20"/>
  <c r="I34" i="20"/>
  <c r="R41" i="20"/>
  <c r="I35" i="20"/>
  <c r="R12" i="20"/>
  <c r="R38" i="20"/>
  <c r="I6" i="20"/>
  <c r="R40" i="20"/>
  <c r="I9" i="20"/>
  <c r="I13" i="20"/>
  <c r="I39" i="20"/>
  <c r="I43" i="20"/>
  <c r="R14" i="20"/>
  <c r="I11" i="20"/>
  <c r="I16" i="20"/>
  <c r="I41" i="20"/>
  <c r="R8" i="20"/>
  <c r="R15" i="20"/>
  <c r="R46" i="20"/>
  <c r="I36" i="20"/>
  <c r="I38" i="20"/>
  <c r="R19" i="20"/>
  <c r="R45" i="20"/>
  <c r="I7" i="20"/>
  <c r="R33" i="20"/>
  <c r="R11" i="20"/>
  <c r="R42" i="20"/>
  <c r="R17" i="20"/>
  <c r="R16" i="20"/>
  <c r="I33" i="20"/>
  <c r="R35" i="20"/>
  <c r="I42" i="20"/>
  <c r="R43" i="20"/>
  <c r="I12" i="20"/>
  <c r="R10" i="20"/>
  <c r="I8" i="20"/>
  <c r="I37" i="20"/>
  <c r="D47" i="17" a="1"/>
  <c r="D47" i="17" s="1"/>
  <c r="D46" i="17"/>
  <c r="I100" i="35" l="1" a="1"/>
  <c r="I100" i="35" s="1"/>
  <c r="I58" i="35" a="1"/>
  <c r="I58" i="35" s="1"/>
  <c r="G30" i="18" a="1"/>
  <c r="G30" i="18" s="1"/>
  <c r="G289" i="18" a="1"/>
  <c r="G289" i="18" s="1"/>
  <c r="I132" i="35" a="1"/>
  <c r="I132" i="35" s="1"/>
  <c r="I95" i="35" a="1"/>
  <c r="I95" i="35" s="1"/>
  <c r="G283" i="18" a="1"/>
  <c r="G283" i="18" s="1"/>
  <c r="G33" i="18" a="1"/>
  <c r="G33" i="18" s="1"/>
  <c r="I33" i="18" s="1"/>
  <c r="G288" i="18" a="1"/>
  <c r="G288" i="18" s="1"/>
  <c r="H288" i="18" s="1"/>
  <c r="G81" i="18" a="1"/>
  <c r="G81" i="18" s="1"/>
  <c r="I81" i="18" s="1"/>
  <c r="I14" i="35" a="1"/>
  <c r="I14" i="35" s="1"/>
  <c r="J370" i="37" s="1"/>
  <c r="I88" i="35" a="1"/>
  <c r="I88" i="35" s="1"/>
  <c r="J228" i="58" s="1"/>
  <c r="G324" i="18" a="1"/>
  <c r="G324" i="18" s="1"/>
  <c r="G293" i="18" a="1"/>
  <c r="G293" i="18" s="1"/>
  <c r="H293" i="18" s="1"/>
  <c r="I137" i="35" a="1"/>
  <c r="I137" i="35" s="1"/>
  <c r="G325" i="18" a="1"/>
  <c r="G325" i="18" s="1"/>
  <c r="G328" i="18" a="1"/>
  <c r="G328" i="18" s="1"/>
  <c r="H328" i="18" s="1"/>
  <c r="G295" i="18" a="1"/>
  <c r="G295" i="18" s="1"/>
  <c r="G290" i="18" a="1"/>
  <c r="G290" i="18" s="1"/>
  <c r="I96" i="35" a="1"/>
  <c r="I96" i="35" s="1"/>
  <c r="J286" i="58" s="1"/>
  <c r="G294" i="18" a="1"/>
  <c r="G294" i="18" s="1"/>
  <c r="H294" i="18" s="1"/>
  <c r="I89" i="35" a="1"/>
  <c r="I89" i="35" s="1"/>
  <c r="J323" i="58" s="1"/>
  <c r="G292" i="18" a="1"/>
  <c r="G292" i="18" s="1"/>
  <c r="H292" i="18" s="1"/>
  <c r="I93" i="35" a="1"/>
  <c r="I93" i="35" s="1"/>
  <c r="J251" i="58" s="1"/>
  <c r="I99" i="35" a="1"/>
  <c r="I99" i="35" s="1"/>
  <c r="I91" i="35" a="1"/>
  <c r="I91" i="35" s="1"/>
  <c r="J183" i="58" s="1"/>
  <c r="I3" i="35" a="1"/>
  <c r="I3" i="35" s="1"/>
  <c r="I92" i="35" a="1"/>
  <c r="I92" i="35" s="1"/>
  <c r="I47" i="20"/>
  <c r="I90" i="35" a="1"/>
  <c r="I90" i="35" s="1"/>
  <c r="I133" i="35" a="1"/>
  <c r="I133" i="35" s="1"/>
  <c r="I97" i="35" a="1"/>
  <c r="I97" i="35" s="1"/>
  <c r="J346" i="58" s="1"/>
  <c r="I136" i="35" a="1"/>
  <c r="I136" i="35" s="1"/>
  <c r="J312" i="58" s="1"/>
  <c r="I57" i="35" a="1"/>
  <c r="I57" i="35" s="1"/>
  <c r="J398" i="37" s="1"/>
  <c r="I98" i="35" a="1"/>
  <c r="I98" i="35" s="1"/>
  <c r="J370" i="58" s="1"/>
  <c r="I94" i="35" a="1"/>
  <c r="I94" i="35" s="1"/>
  <c r="J305" i="58" s="1"/>
  <c r="G282" i="18" a="1"/>
  <c r="G282" i="18" s="1"/>
  <c r="I6" i="35" a="1"/>
  <c r="I6" i="35" s="1"/>
  <c r="J209" i="37" s="1"/>
  <c r="I13" i="35" a="1"/>
  <c r="I13" i="35" s="1"/>
  <c r="I55" i="35" a="1"/>
  <c r="I55" i="35" s="1"/>
  <c r="I46" i="35" a="1"/>
  <c r="I46" i="35" s="1"/>
  <c r="J237" i="37" s="1"/>
  <c r="G37" i="18" a="1"/>
  <c r="G37" i="18" s="1"/>
  <c r="H37" i="18" s="1"/>
  <c r="G35" i="18" a="1"/>
  <c r="G35" i="18" s="1"/>
  <c r="I49" i="35" a="1"/>
  <c r="I49" i="35" s="1"/>
  <c r="J187" i="37" s="1"/>
  <c r="G327" i="18" a="1"/>
  <c r="G327" i="18" s="1"/>
  <c r="H327" i="18" s="1"/>
  <c r="I138" i="35" a="1"/>
  <c r="I138" i="35" s="1"/>
  <c r="J295" i="58" s="1"/>
  <c r="I20" i="20"/>
  <c r="G291" i="18" a="1"/>
  <c r="G291" i="18" s="1"/>
  <c r="I291" i="18" s="1"/>
  <c r="G286" i="18" a="1"/>
  <c r="G286" i="18" s="1"/>
  <c r="G43" i="18" a="1"/>
  <c r="G43" i="18" s="1"/>
  <c r="H43" i="18" s="1"/>
  <c r="G72" i="18" a="1"/>
  <c r="G72" i="18" s="1"/>
  <c r="H72" i="18" s="1"/>
  <c r="G85" i="18" a="1"/>
  <c r="G85" i="18" s="1"/>
  <c r="G39" i="18" a="1"/>
  <c r="G39" i="18" s="1"/>
  <c r="H39" i="18" s="1"/>
  <c r="I87" i="35" a="1"/>
  <c r="I87" i="35" s="1"/>
  <c r="G284" i="18" a="1"/>
  <c r="G284" i="18" s="1"/>
  <c r="G285" i="18" a="1"/>
  <c r="G285" i="18" s="1"/>
  <c r="I285" i="18" s="1"/>
  <c r="I50" i="35" a="1"/>
  <c r="I50" i="35" s="1"/>
  <c r="J200" i="37" s="1"/>
  <c r="I53" i="35" a="1"/>
  <c r="I53" i="35" s="1"/>
  <c r="J277" i="37" s="1"/>
  <c r="G287" i="18" a="1"/>
  <c r="G287" i="18" s="1"/>
  <c r="I287" i="18" s="1"/>
  <c r="I12" i="35" a="1"/>
  <c r="I12" i="35" s="1"/>
  <c r="J286" i="37" s="1"/>
  <c r="G84" i="18" a="1"/>
  <c r="G84" i="18" s="1"/>
  <c r="G75" i="18" a="1"/>
  <c r="G75" i="18" s="1"/>
  <c r="H75" i="18" s="1"/>
  <c r="I5" i="35" a="1"/>
  <c r="I5" i="35" s="1"/>
  <c r="I9" i="35" a="1"/>
  <c r="I9" i="35" s="1"/>
  <c r="I48" i="35" a="1"/>
  <c r="I48" i="35" s="1"/>
  <c r="J216" i="37" s="1"/>
  <c r="I51" i="35" a="1"/>
  <c r="I51" i="35" s="1"/>
  <c r="G80" i="18" a="1"/>
  <c r="G80" i="18" s="1"/>
  <c r="I15" i="35" a="1"/>
  <c r="I15" i="35" s="1"/>
  <c r="J387" i="37" s="1"/>
  <c r="G76" i="18" a="1"/>
  <c r="G76" i="18" s="1"/>
  <c r="H76" i="18" s="1"/>
  <c r="G334" i="18" a="1"/>
  <c r="G334" i="18" s="1"/>
  <c r="G40" i="18" a="1"/>
  <c r="G40" i="18" s="1"/>
  <c r="H40" i="18" s="1"/>
  <c r="G32" i="18" a="1"/>
  <c r="G32" i="18" s="1"/>
  <c r="H32" i="18" s="1"/>
  <c r="R20" i="20"/>
  <c r="G336" i="18" a="1"/>
  <c r="G336" i="18" s="1"/>
  <c r="I336" i="18" s="1"/>
  <c r="G42" i="18" a="1"/>
  <c r="G42" i="18" s="1"/>
  <c r="G333" i="18" a="1"/>
  <c r="G333" i="18" s="1"/>
  <c r="I7" i="35" a="1"/>
  <c r="I7" i="35" s="1"/>
  <c r="J166" i="37" s="1"/>
  <c r="I8" i="35" a="1"/>
  <c r="I8" i="35" s="1"/>
  <c r="G41" i="18" a="1"/>
  <c r="G41" i="18" s="1"/>
  <c r="G73" i="18" a="1"/>
  <c r="G73" i="18" s="1"/>
  <c r="I73" i="18" s="1"/>
  <c r="G34" i="18" a="1"/>
  <c r="G34" i="18" s="1"/>
  <c r="H34" i="18" s="1"/>
  <c r="G79" i="18" a="1"/>
  <c r="G79" i="18" s="1"/>
  <c r="H79" i="18" s="1"/>
  <c r="G36" i="18" a="1"/>
  <c r="G36" i="18" s="1"/>
  <c r="H36" i="18" s="1"/>
  <c r="G83" i="18" a="1"/>
  <c r="G83" i="18" s="1"/>
  <c r="H83" i="18" s="1"/>
  <c r="I140" i="35" a="1"/>
  <c r="I140" i="35" s="1"/>
  <c r="G335" i="18" a="1"/>
  <c r="G335" i="18" s="1"/>
  <c r="H335" i="18" s="1"/>
  <c r="G330" i="18" a="1"/>
  <c r="G330" i="18" s="1"/>
  <c r="G38" i="18" a="1"/>
  <c r="G38" i="18" s="1"/>
  <c r="I10" i="35" a="1"/>
  <c r="I10" i="35" s="1"/>
  <c r="J304" i="37" s="1"/>
  <c r="I52" i="35" a="1"/>
  <c r="I52" i="35" s="1"/>
  <c r="I47" i="35" a="1"/>
  <c r="I47" i="35" s="1"/>
  <c r="R47" i="20"/>
  <c r="G329" i="18" a="1"/>
  <c r="G329" i="18" s="1"/>
  <c r="H329" i="18" s="1"/>
  <c r="I139" i="35" a="1"/>
  <c r="I139" i="35" s="1"/>
  <c r="J359" i="58" s="1"/>
  <c r="G332" i="18" a="1"/>
  <c r="G332" i="18" s="1"/>
  <c r="H332" i="18" s="1"/>
  <c r="I141" i="35" a="1"/>
  <c r="I141" i="35" s="1"/>
  <c r="J397" i="58" s="1"/>
  <c r="G31" i="18" a="1"/>
  <c r="G31" i="18" s="1"/>
  <c r="I16" i="35" a="1"/>
  <c r="I16" i="35" s="1"/>
  <c r="J407" i="37" s="1"/>
  <c r="I56" i="35" a="1"/>
  <c r="I56" i="35" s="1"/>
  <c r="I45" i="35" a="1"/>
  <c r="I45" i="35" s="1"/>
  <c r="G331" i="18" a="1"/>
  <c r="G331" i="18" s="1"/>
  <c r="I331" i="18" s="1"/>
  <c r="I130" i="35" a="1"/>
  <c r="I130" i="35" s="1"/>
  <c r="I142" i="35" a="1"/>
  <c r="I142" i="35" s="1"/>
  <c r="G78" i="18" a="1"/>
  <c r="G78" i="18" s="1"/>
  <c r="I78" i="18" s="1"/>
  <c r="G337" i="18" a="1"/>
  <c r="G337" i="18" s="1"/>
  <c r="H337" i="18" s="1"/>
  <c r="I131" i="35" a="1"/>
  <c r="I131" i="35" s="1"/>
  <c r="J333" i="58" s="1"/>
  <c r="I135" i="35" a="1"/>
  <c r="I135" i="35" s="1"/>
  <c r="J258" i="58" s="1"/>
  <c r="I4" i="35" a="1"/>
  <c r="I4" i="35" s="1"/>
  <c r="J226" i="37" s="1"/>
  <c r="I11" i="35" a="1"/>
  <c r="I11" i="35" s="1"/>
  <c r="G77" i="18" a="1"/>
  <c r="G77" i="18" s="1"/>
  <c r="I77" i="18" s="1"/>
  <c r="I54" i="35" a="1"/>
  <c r="I54" i="35" s="1"/>
  <c r="G326" i="18" a="1"/>
  <c r="G326" i="18" s="1"/>
  <c r="H326" i="18" s="1"/>
  <c r="I134" i="35" a="1"/>
  <c r="I134" i="35" s="1"/>
  <c r="J200" i="58" s="1"/>
  <c r="G74" i="18" a="1"/>
  <c r="G74" i="18" s="1"/>
  <c r="G82" i="18" a="1"/>
  <c r="G82" i="18" s="1"/>
  <c r="I129" i="35" a="1"/>
  <c r="I129" i="35" s="1"/>
  <c r="J155" i="58" s="1"/>
  <c r="J269" i="58"/>
  <c r="J268" i="58"/>
  <c r="J267" i="58"/>
  <c r="J190" i="37"/>
  <c r="J191" i="37"/>
  <c r="J189" i="37"/>
  <c r="H282" i="18"/>
  <c r="I282" i="18"/>
  <c r="J269" i="37"/>
  <c r="J269" i="41" s="1"/>
  <c r="J268" i="37"/>
  <c r="J267" i="37"/>
  <c r="J294" i="37"/>
  <c r="J295" i="37"/>
  <c r="J296" i="37"/>
  <c r="I326" i="18"/>
  <c r="J406" i="58"/>
  <c r="J405" i="58"/>
  <c r="J407" i="58"/>
  <c r="H30" i="18"/>
  <c r="I30" i="18"/>
  <c r="I35" i="18"/>
  <c r="H35" i="18"/>
  <c r="H295" i="18"/>
  <c r="I295" i="18"/>
  <c r="H41" i="18"/>
  <c r="I41" i="18"/>
  <c r="J358" i="37"/>
  <c r="J357" i="37"/>
  <c r="J360" i="37"/>
  <c r="J359" i="37"/>
  <c r="J258" i="37"/>
  <c r="J259" i="37"/>
  <c r="J260" i="37"/>
  <c r="I324" i="18"/>
  <c r="H324" i="18"/>
  <c r="J208" i="58"/>
  <c r="J209" i="58"/>
  <c r="J207" i="58"/>
  <c r="J415" i="37"/>
  <c r="J416" i="37"/>
  <c r="J414" i="37"/>
  <c r="J216" i="58"/>
  <c r="J218" i="58"/>
  <c r="J217" i="58"/>
  <c r="I333" i="18"/>
  <c r="H333" i="18"/>
  <c r="J191" i="58"/>
  <c r="J190" i="58"/>
  <c r="J189" i="58"/>
  <c r="I84" i="18"/>
  <c r="H84" i="18"/>
  <c r="J278" i="58"/>
  <c r="J277" i="58"/>
  <c r="J276" i="58"/>
  <c r="J380" i="58"/>
  <c r="J378" i="58"/>
  <c r="J379" i="58"/>
  <c r="H289" i="18"/>
  <c r="I289" i="18"/>
  <c r="H283" i="18"/>
  <c r="I283" i="18"/>
  <c r="H286" i="18"/>
  <c r="I286" i="18"/>
  <c r="I42" i="18"/>
  <c r="H42" i="18"/>
  <c r="J240" i="37"/>
  <c r="J144" i="58"/>
  <c r="J143" i="58"/>
  <c r="J141" i="58"/>
  <c r="J142" i="58"/>
  <c r="H284" i="18"/>
  <c r="I284" i="18"/>
  <c r="J322" i="37"/>
  <c r="J323" i="37"/>
  <c r="J324" i="37"/>
  <c r="J321" i="37"/>
  <c r="H74" i="18"/>
  <c r="I74" i="18"/>
  <c r="I82" i="18"/>
  <c r="H82" i="18"/>
  <c r="H330" i="18"/>
  <c r="I330" i="18"/>
  <c r="J144" i="37"/>
  <c r="J142" i="37"/>
  <c r="J143" i="37"/>
  <c r="J141" i="37"/>
  <c r="J188" i="37"/>
  <c r="J186" i="37"/>
  <c r="I80" i="18"/>
  <c r="H80" i="18"/>
  <c r="J285" i="58"/>
  <c r="J287" i="58"/>
  <c r="J389" i="58"/>
  <c r="J388" i="58"/>
  <c r="J387" i="58"/>
  <c r="I38" i="18"/>
  <c r="H38" i="18"/>
  <c r="J305" i="37"/>
  <c r="J312" i="37"/>
  <c r="J313" i="37"/>
  <c r="J314" i="37"/>
  <c r="J334" i="37"/>
  <c r="J336" i="37"/>
  <c r="J335" i="37"/>
  <c r="J333" i="37"/>
  <c r="O6" i="20"/>
  <c r="F19" i="20"/>
  <c r="O7" i="20"/>
  <c r="O9" i="20"/>
  <c r="F39" i="20"/>
  <c r="O38" i="20"/>
  <c r="O35" i="20"/>
  <c r="O15" i="20"/>
  <c r="F17" i="20"/>
  <c r="O40" i="20"/>
  <c r="O43" i="20"/>
  <c r="F10" i="20"/>
  <c r="O17" i="20"/>
  <c r="F45" i="20"/>
  <c r="O11" i="20"/>
  <c r="F18" i="20"/>
  <c r="O10" i="20"/>
  <c r="F16" i="20"/>
  <c r="O18" i="20"/>
  <c r="O14" i="20"/>
  <c r="F8" i="20"/>
  <c r="O33" i="20"/>
  <c r="F6" i="20"/>
  <c r="O37" i="20"/>
  <c r="O41" i="20"/>
  <c r="O45" i="20"/>
  <c r="O44" i="20"/>
  <c r="F40" i="20"/>
  <c r="O16" i="20"/>
  <c r="F38" i="20"/>
  <c r="F12" i="20"/>
  <c r="O8" i="20"/>
  <c r="F41" i="20"/>
  <c r="F7" i="20"/>
  <c r="F15" i="20"/>
  <c r="O12" i="20"/>
  <c r="O13" i="20"/>
  <c r="F14" i="20"/>
  <c r="F35" i="20"/>
  <c r="O46" i="20"/>
  <c r="F44" i="20"/>
  <c r="F34" i="20"/>
  <c r="O42" i="20"/>
  <c r="O39" i="20"/>
  <c r="F11" i="20"/>
  <c r="F36" i="20"/>
  <c r="F37" i="20"/>
  <c r="F43" i="20"/>
  <c r="O19" i="20"/>
  <c r="F13" i="20"/>
  <c r="F42" i="20"/>
  <c r="F33" i="20"/>
  <c r="O36" i="20"/>
  <c r="O34" i="20"/>
  <c r="F46" i="20"/>
  <c r="F9" i="20"/>
  <c r="J347" i="37"/>
  <c r="J348" i="37"/>
  <c r="J345" i="37"/>
  <c r="J346" i="37"/>
  <c r="I85" i="18"/>
  <c r="H85" i="18"/>
  <c r="I334" i="18"/>
  <c r="H334" i="18"/>
  <c r="J296" i="58"/>
  <c r="J165" i="58"/>
  <c r="J250" i="37"/>
  <c r="J251" i="37"/>
  <c r="J249" i="37"/>
  <c r="H33" i="18"/>
  <c r="J176" i="58"/>
  <c r="J187" i="58"/>
  <c r="J186" i="58"/>
  <c r="J188" i="58"/>
  <c r="J175" i="58"/>
  <c r="J174" i="58"/>
  <c r="H325" i="18"/>
  <c r="I325" i="18"/>
  <c r="J185" i="37"/>
  <c r="H31" i="18"/>
  <c r="I31" i="18"/>
  <c r="J405" i="37"/>
  <c r="J405" i="41" s="1"/>
  <c r="J378" i="37"/>
  <c r="J379" i="37"/>
  <c r="J380" i="37"/>
  <c r="J154" i="37"/>
  <c r="J153" i="37"/>
  <c r="J156" i="37"/>
  <c r="J155" i="37"/>
  <c r="J239" i="58"/>
  <c r="J237" i="58"/>
  <c r="J238" i="58"/>
  <c r="J240" i="58"/>
  <c r="J414" i="58"/>
  <c r="J416" i="58"/>
  <c r="J415" i="58"/>
  <c r="I290" i="18"/>
  <c r="H290" i="18"/>
  <c r="J388" i="37"/>
  <c r="J389" i="37"/>
  <c r="I337" i="18"/>
  <c r="I34" i="18" l="1"/>
  <c r="J347" i="58"/>
  <c r="J175" i="37"/>
  <c r="I288" i="18"/>
  <c r="I294" i="18"/>
  <c r="I76" i="18"/>
  <c r="J174" i="37"/>
  <c r="J174" i="41" s="1"/>
  <c r="J314" i="58"/>
  <c r="J314" i="41" s="1"/>
  <c r="J313" i="58"/>
  <c r="J313" i="41" s="1"/>
  <c r="J346" i="41"/>
  <c r="I329" i="18"/>
  <c r="J329" i="18" s="1"/>
  <c r="J198" i="37"/>
  <c r="D33" i="57" s="1"/>
  <c r="J199" i="37"/>
  <c r="J348" i="58"/>
  <c r="I327" i="18"/>
  <c r="J345" i="58"/>
  <c r="J335" i="58"/>
  <c r="J336" i="58"/>
  <c r="J336" i="41" s="1"/>
  <c r="J278" i="37"/>
  <c r="J278" i="41" s="1"/>
  <c r="J334" i="58"/>
  <c r="J334" i="41" s="1"/>
  <c r="J360" i="58"/>
  <c r="J360" i="41" s="1"/>
  <c r="J396" i="37"/>
  <c r="G131" i="66" s="1"/>
  <c r="J397" i="37"/>
  <c r="J397" i="41" s="1"/>
  <c r="J294" i="58"/>
  <c r="J294" i="41" s="1"/>
  <c r="I72" i="18"/>
  <c r="H285" i="18"/>
  <c r="J154" i="58"/>
  <c r="J154" i="41" s="1"/>
  <c r="J156" i="58"/>
  <c r="J156" i="41" s="1"/>
  <c r="J153" i="58"/>
  <c r="J153" i="41" s="1"/>
  <c r="J371" i="58"/>
  <c r="J369" i="58"/>
  <c r="G264" i="66" s="1"/>
  <c r="O264" i="66" s="1"/>
  <c r="J378" i="41"/>
  <c r="I292" i="18"/>
  <c r="J292" i="18" s="1"/>
  <c r="J277" i="41"/>
  <c r="I79" i="18"/>
  <c r="J79" i="18" s="1"/>
  <c r="J321" i="58"/>
  <c r="J321" i="41" s="1"/>
  <c r="J371" i="37"/>
  <c r="J322" i="58"/>
  <c r="I40" i="18"/>
  <c r="J40" i="18" s="1"/>
  <c r="J369" i="37"/>
  <c r="I36" i="18"/>
  <c r="F36" i="18" s="1"/>
  <c r="J324" i="58"/>
  <c r="J324" i="41" s="1"/>
  <c r="H287" i="18"/>
  <c r="J287" i="18" s="1"/>
  <c r="I332" i="18"/>
  <c r="F332" i="18" s="1"/>
  <c r="J260" i="58"/>
  <c r="J260" i="41" s="1"/>
  <c r="J276" i="37"/>
  <c r="J276" i="41" s="1"/>
  <c r="J357" i="58"/>
  <c r="J357" i="41" s="1"/>
  <c r="J259" i="58"/>
  <c r="J259" i="41" s="1"/>
  <c r="J358" i="58"/>
  <c r="H81" i="18"/>
  <c r="J388" i="41"/>
  <c r="H291" i="18"/>
  <c r="J291" i="18" s="1"/>
  <c r="J398" i="58"/>
  <c r="J398" i="41" s="1"/>
  <c r="J347" i="41"/>
  <c r="I37" i="18"/>
  <c r="J285" i="37"/>
  <c r="J285" i="41" s="1"/>
  <c r="J396" i="58"/>
  <c r="D79" i="57" s="1"/>
  <c r="J287" i="37"/>
  <c r="J287" i="41" s="1"/>
  <c r="J380" i="41"/>
  <c r="J225" i="58"/>
  <c r="D68" i="57" s="1"/>
  <c r="J208" i="37"/>
  <c r="J208" i="41" s="1"/>
  <c r="J268" i="41"/>
  <c r="J286" i="41"/>
  <c r="J226" i="58"/>
  <c r="J226" i="41" s="1"/>
  <c r="J227" i="58"/>
  <c r="I32" i="18"/>
  <c r="J303" i="58"/>
  <c r="G270" i="66" s="1"/>
  <c r="J249" i="58"/>
  <c r="J249" i="41" s="1"/>
  <c r="J304" i="58"/>
  <c r="J304" i="41" s="1"/>
  <c r="J323" i="41"/>
  <c r="J250" i="58"/>
  <c r="J250" i="41" s="1"/>
  <c r="I83" i="18"/>
  <c r="F83" i="18" s="1"/>
  <c r="J251" i="41"/>
  <c r="J225" i="37"/>
  <c r="J227" i="37"/>
  <c r="J228" i="37"/>
  <c r="J228" i="41" s="1"/>
  <c r="J312" i="41"/>
  <c r="J305" i="41"/>
  <c r="J407" i="41"/>
  <c r="J406" i="37"/>
  <c r="J406" i="41" s="1"/>
  <c r="J185" i="58"/>
  <c r="J185" i="41" s="1"/>
  <c r="J167" i="58"/>
  <c r="J207" i="37"/>
  <c r="J207" i="41" s="1"/>
  <c r="J184" i="58"/>
  <c r="H77" i="18"/>
  <c r="J166" i="58"/>
  <c r="J166" i="41" s="1"/>
  <c r="I43" i="18"/>
  <c r="J43" i="18" s="1"/>
  <c r="I75" i="18"/>
  <c r="F75" i="18" s="1"/>
  <c r="H336" i="18"/>
  <c r="J336" i="18" s="1"/>
  <c r="I335" i="18"/>
  <c r="F335" i="18" s="1"/>
  <c r="J216" i="41"/>
  <c r="I328" i="18"/>
  <c r="F328" i="18" s="1"/>
  <c r="H331" i="18"/>
  <c r="J331" i="18" s="1"/>
  <c r="J200" i="41"/>
  <c r="I39" i="18"/>
  <c r="F39" i="18" s="1"/>
  <c r="J165" i="37"/>
  <c r="J165" i="41" s="1"/>
  <c r="J348" i="41"/>
  <c r="J198" i="58"/>
  <c r="D72" i="57" s="1"/>
  <c r="J199" i="58"/>
  <c r="J199" i="41" s="1"/>
  <c r="I293" i="18"/>
  <c r="J217" i="37"/>
  <c r="J217" i="41" s="1"/>
  <c r="J218" i="37"/>
  <c r="J218" i="41" s="1"/>
  <c r="J239" i="37"/>
  <c r="J239" i="41" s="1"/>
  <c r="J183" i="37"/>
  <c r="J183" i="41" s="1"/>
  <c r="J184" i="37"/>
  <c r="J167" i="37"/>
  <c r="J303" i="37"/>
  <c r="D35" i="57" s="1"/>
  <c r="J238" i="37"/>
  <c r="E26" i="53" s="1"/>
  <c r="H73" i="18"/>
  <c r="J155" i="41"/>
  <c r="J176" i="37"/>
  <c r="J176" i="41" s="1"/>
  <c r="J379" i="41"/>
  <c r="J389" i="41"/>
  <c r="H78" i="18"/>
  <c r="J78" i="18" s="1"/>
  <c r="D78" i="57"/>
  <c r="F331" i="18"/>
  <c r="F325" i="18"/>
  <c r="J325" i="18"/>
  <c r="F33" i="18"/>
  <c r="J33" i="18"/>
  <c r="D38" i="57"/>
  <c r="J345" i="41"/>
  <c r="G110" i="66"/>
  <c r="J186" i="41"/>
  <c r="D28" i="57"/>
  <c r="J141" i="41"/>
  <c r="G122" i="66"/>
  <c r="F291" i="18"/>
  <c r="J414" i="41"/>
  <c r="J288" i="18"/>
  <c r="F288" i="18"/>
  <c r="J358" i="41"/>
  <c r="J327" i="18"/>
  <c r="F327" i="18"/>
  <c r="F30" i="18"/>
  <c r="J30" i="18"/>
  <c r="J296" i="41"/>
  <c r="J209" i="41"/>
  <c r="J189" i="41"/>
  <c r="O3" i="37"/>
  <c r="D34" i="57"/>
  <c r="G138" i="66"/>
  <c r="G64" i="18" a="1"/>
  <c r="G64" i="18" s="1"/>
  <c r="G60" i="18" a="1"/>
  <c r="G60" i="18" s="1"/>
  <c r="G66" i="18" a="1"/>
  <c r="G66" i="18" s="1"/>
  <c r="H54" i="35" a="1"/>
  <c r="H54" i="35" s="1"/>
  <c r="G71" i="18" a="1"/>
  <c r="G71" i="18" s="1"/>
  <c r="H56" i="35" a="1"/>
  <c r="H56" i="35" s="1"/>
  <c r="H53" i="35" a="1"/>
  <c r="H53" i="35" s="1"/>
  <c r="G65" i="18" a="1"/>
  <c r="G65" i="18" s="1"/>
  <c r="G58" i="18" a="1"/>
  <c r="G58" i="18" s="1"/>
  <c r="H52" i="35" a="1"/>
  <c r="H52" i="35" s="1"/>
  <c r="G67" i="18" a="1"/>
  <c r="G67" i="18" s="1"/>
  <c r="H51" i="35" a="1"/>
  <c r="H51" i="35" s="1"/>
  <c r="G62" i="18" a="1"/>
  <c r="G62" i="18" s="1"/>
  <c r="G63" i="18" a="1"/>
  <c r="G63" i="18" s="1"/>
  <c r="G69" i="18" a="1"/>
  <c r="G69" i="18" s="1"/>
  <c r="H46" i="35" a="1"/>
  <c r="H46" i="35" s="1"/>
  <c r="H47" i="35" a="1"/>
  <c r="H47" i="35" s="1"/>
  <c r="G70" i="18" a="1"/>
  <c r="G70" i="18" s="1"/>
  <c r="O20" i="20"/>
  <c r="H58" i="35" a="1"/>
  <c r="H58" i="35" s="1"/>
  <c r="G68" i="18" a="1"/>
  <c r="G68" i="18" s="1"/>
  <c r="H57" i="35" a="1"/>
  <c r="H57" i="35" s="1"/>
  <c r="G59" i="18" a="1"/>
  <c r="G59" i="18" s="1"/>
  <c r="H48" i="35" a="1"/>
  <c r="H48" i="35" s="1"/>
  <c r="G61" i="18" a="1"/>
  <c r="G61" i="18" s="1"/>
  <c r="H55" i="35" a="1"/>
  <c r="H55" i="35" s="1"/>
  <c r="H50" i="35" a="1"/>
  <c r="H50" i="35" s="1"/>
  <c r="H45" i="35" a="1"/>
  <c r="H45" i="35" s="1"/>
  <c r="H49" i="35" a="1"/>
  <c r="H49" i="35" s="1"/>
  <c r="J175" i="41"/>
  <c r="J143" i="41"/>
  <c r="J285" i="18"/>
  <c r="F285" i="18"/>
  <c r="J42" i="18"/>
  <c r="F42" i="18"/>
  <c r="J416" i="41"/>
  <c r="J72" i="18"/>
  <c r="F72" i="18"/>
  <c r="J295" i="41"/>
  <c r="J191" i="41"/>
  <c r="J142" i="41"/>
  <c r="J284" i="18"/>
  <c r="F284" i="18"/>
  <c r="F286" i="18"/>
  <c r="J286" i="18"/>
  <c r="J415" i="41"/>
  <c r="J190" i="41"/>
  <c r="G17" i="18" a="1"/>
  <c r="G17" i="18" s="1"/>
  <c r="G20" i="18" a="1"/>
  <c r="G20" i="18" s="1"/>
  <c r="G29" i="18" a="1"/>
  <c r="G29" i="18" s="1"/>
  <c r="G18" i="18" a="1"/>
  <c r="G18" i="18" s="1"/>
  <c r="H14" i="35" a="1"/>
  <c r="H14" i="35" s="1"/>
  <c r="H16" i="35" a="1"/>
  <c r="H16" i="35" s="1"/>
  <c r="G16" i="18" a="1"/>
  <c r="G16" i="18" s="1"/>
  <c r="H8" i="35" a="1"/>
  <c r="H8" i="35" s="1"/>
  <c r="G28" i="18" a="1"/>
  <c r="G28" i="18" s="1"/>
  <c r="H4" i="35" a="1"/>
  <c r="H4" i="35" s="1"/>
  <c r="H10" i="35" a="1"/>
  <c r="H10" i="35" s="1"/>
  <c r="H15" i="35" a="1"/>
  <c r="H15" i="35" s="1"/>
  <c r="H12" i="35" a="1"/>
  <c r="H12" i="35" s="1"/>
  <c r="H7" i="35" a="1"/>
  <c r="H7" i="35" s="1"/>
  <c r="G25" i="18" a="1"/>
  <c r="G25" i="18" s="1"/>
  <c r="G27" i="18" a="1"/>
  <c r="G27" i="18" s="1"/>
  <c r="H5" i="35" a="1"/>
  <c r="H5" i="35" s="1"/>
  <c r="G26" i="18" a="1"/>
  <c r="G26" i="18" s="1"/>
  <c r="G19" i="18" a="1"/>
  <c r="G19" i="18" s="1"/>
  <c r="G23" i="18" a="1"/>
  <c r="G23" i="18" s="1"/>
  <c r="F20" i="20"/>
  <c r="H11" i="35" a="1"/>
  <c r="H11" i="35" s="1"/>
  <c r="G24" i="18" a="1"/>
  <c r="G24" i="18" s="1"/>
  <c r="G22" i="18" a="1"/>
  <c r="G22" i="18" s="1"/>
  <c r="H3" i="35" a="1"/>
  <c r="H3" i="35" s="1"/>
  <c r="H13" i="35" a="1"/>
  <c r="H13" i="35" s="1"/>
  <c r="H6" i="35" a="1"/>
  <c r="H6" i="35" s="1"/>
  <c r="G21" i="18" a="1"/>
  <c r="G21" i="18" s="1"/>
  <c r="H9" i="35" a="1"/>
  <c r="H9" i="35" s="1"/>
  <c r="F287" i="18"/>
  <c r="J144" i="41"/>
  <c r="F82" i="18"/>
  <c r="J82" i="18"/>
  <c r="J41" i="18"/>
  <c r="F41" i="18"/>
  <c r="F294" i="18"/>
  <c r="J294" i="18"/>
  <c r="J282" i="18"/>
  <c r="F282" i="18"/>
  <c r="F337" i="18"/>
  <c r="J337" i="18"/>
  <c r="G130" i="66"/>
  <c r="H133" i="35" a="1"/>
  <c r="H133" i="35" s="1"/>
  <c r="G317" i="18" a="1"/>
  <c r="G317" i="18" s="1"/>
  <c r="H132" i="35" a="1"/>
  <c r="H132" i="35" s="1"/>
  <c r="G313" i="18" a="1"/>
  <c r="G313" i="18" s="1"/>
  <c r="G320" i="18" a="1"/>
  <c r="G320" i="18" s="1"/>
  <c r="G322" i="18" a="1"/>
  <c r="G322" i="18" s="1"/>
  <c r="H140" i="35" a="1"/>
  <c r="H140" i="35" s="1"/>
  <c r="G318" i="18" a="1"/>
  <c r="G318" i="18" s="1"/>
  <c r="G311" i="18" a="1"/>
  <c r="G311" i="18" s="1"/>
  <c r="H129" i="35" a="1"/>
  <c r="H129" i="35" s="1"/>
  <c r="H138" i="35" a="1"/>
  <c r="H138" i="35" s="1"/>
  <c r="H134" i="35" a="1"/>
  <c r="H134" i="35" s="1"/>
  <c r="H141" i="35" a="1"/>
  <c r="H141" i="35" s="1"/>
  <c r="H136" i="35" a="1"/>
  <c r="H136" i="35" s="1"/>
  <c r="G316" i="18" a="1"/>
  <c r="G316" i="18" s="1"/>
  <c r="H130" i="35" a="1"/>
  <c r="H130" i="35" s="1"/>
  <c r="G321" i="18" a="1"/>
  <c r="G321" i="18" s="1"/>
  <c r="H142" i="35" a="1"/>
  <c r="H142" i="35" s="1"/>
  <c r="G310" i="18" a="1"/>
  <c r="G310" i="18" s="1"/>
  <c r="H139" i="35" a="1"/>
  <c r="H139" i="35" s="1"/>
  <c r="G323" i="18" a="1"/>
  <c r="G323" i="18" s="1"/>
  <c r="G315" i="18" a="1"/>
  <c r="G315" i="18" s="1"/>
  <c r="O47" i="20"/>
  <c r="G319" i="18" a="1"/>
  <c r="G319" i="18" s="1"/>
  <c r="H135" i="35" a="1"/>
  <c r="H135" i="35" s="1"/>
  <c r="G312" i="18" a="1"/>
  <c r="G312" i="18" s="1"/>
  <c r="G314" i="18" a="1"/>
  <c r="G314" i="18" s="1"/>
  <c r="H137" i="35" a="1"/>
  <c r="H137" i="35" s="1"/>
  <c r="H131" i="35" a="1"/>
  <c r="H131" i="35" s="1"/>
  <c r="J187" i="41"/>
  <c r="J74" i="18"/>
  <c r="F74" i="18"/>
  <c r="J283" i="18"/>
  <c r="F283" i="18"/>
  <c r="J77" i="18"/>
  <c r="F77" i="18"/>
  <c r="F336" i="18"/>
  <c r="J188" i="41"/>
  <c r="J324" i="18"/>
  <c r="F324" i="18"/>
  <c r="J267" i="41"/>
  <c r="F334" i="18"/>
  <c r="J334" i="18"/>
  <c r="F289" i="18"/>
  <c r="J289" i="18"/>
  <c r="F79" i="18"/>
  <c r="F333" i="18"/>
  <c r="J333" i="18"/>
  <c r="J290" i="18"/>
  <c r="F290" i="18"/>
  <c r="F34" i="18"/>
  <c r="J34" i="18"/>
  <c r="F81" i="18"/>
  <c r="J81" i="18"/>
  <c r="G255" i="66"/>
  <c r="O255" i="66" s="1"/>
  <c r="D75" i="57"/>
  <c r="F292" i="18"/>
  <c r="F85" i="18"/>
  <c r="J85" i="18"/>
  <c r="J330" i="18"/>
  <c r="F330" i="18"/>
  <c r="J493" i="37"/>
  <c r="G135" i="66"/>
  <c r="D30" i="57"/>
  <c r="E394" i="38"/>
  <c r="N135" i="66" s="1"/>
  <c r="J494" i="37"/>
  <c r="D70" i="57"/>
  <c r="G257" i="66"/>
  <c r="J258" i="41"/>
  <c r="F76" i="18"/>
  <c r="J76" i="18"/>
  <c r="J38" i="18"/>
  <c r="F38" i="18"/>
  <c r="J371" i="41"/>
  <c r="J84" i="18"/>
  <c r="F84" i="18"/>
  <c r="J359" i="41"/>
  <c r="J35" i="18"/>
  <c r="F35" i="18"/>
  <c r="F78" i="18"/>
  <c r="H92" i="35" a="1"/>
  <c r="H92" i="35" s="1"/>
  <c r="H97" i="35" a="1"/>
  <c r="H97" i="35" s="1"/>
  <c r="H100" i="35" a="1"/>
  <c r="H100" i="35" s="1"/>
  <c r="H95" i="35" a="1"/>
  <c r="H95" i="35" s="1"/>
  <c r="G271" i="18" a="1"/>
  <c r="G271" i="18" s="1"/>
  <c r="G281" i="18" a="1"/>
  <c r="G281" i="18" s="1"/>
  <c r="G273" i="18" a="1"/>
  <c r="G273" i="18" s="1"/>
  <c r="G276" i="18" a="1"/>
  <c r="G276" i="18" s="1"/>
  <c r="H96" i="35" a="1"/>
  <c r="H96" i="35" s="1"/>
  <c r="G280" i="18" a="1"/>
  <c r="G280" i="18" s="1"/>
  <c r="H98" i="35" a="1"/>
  <c r="H98" i="35" s="1"/>
  <c r="G270" i="18" a="1"/>
  <c r="G270" i="18" s="1"/>
  <c r="G269" i="18" a="1"/>
  <c r="G269" i="18" s="1"/>
  <c r="G279" i="18" a="1"/>
  <c r="G279" i="18" s="1"/>
  <c r="H87" i="35" a="1"/>
  <c r="H87" i="35" s="1"/>
  <c r="H88" i="35" a="1"/>
  <c r="H88" i="35" s="1"/>
  <c r="G274" i="18" a="1"/>
  <c r="G274" i="18" s="1"/>
  <c r="G272" i="18" a="1"/>
  <c r="G272" i="18" s="1"/>
  <c r="H91" i="35" a="1"/>
  <c r="H91" i="35" s="1"/>
  <c r="H93" i="35" a="1"/>
  <c r="H93" i="35" s="1"/>
  <c r="H99" i="35" a="1"/>
  <c r="H99" i="35" s="1"/>
  <c r="G275" i="18" a="1"/>
  <c r="G275" i="18" s="1"/>
  <c r="F47" i="20"/>
  <c r="G277" i="18" a="1"/>
  <c r="G277" i="18" s="1"/>
  <c r="H89" i="35" a="1"/>
  <c r="H89" i="35" s="1"/>
  <c r="H90" i="35" a="1"/>
  <c r="H90" i="35" s="1"/>
  <c r="H94" i="35" a="1"/>
  <c r="H94" i="35" s="1"/>
  <c r="G278" i="18" a="1"/>
  <c r="G278" i="18" s="1"/>
  <c r="G268" i="18" a="1"/>
  <c r="G268" i="18" s="1"/>
  <c r="J333" i="41"/>
  <c r="J237" i="41"/>
  <c r="J73" i="18"/>
  <c r="F73" i="18"/>
  <c r="F295" i="18"/>
  <c r="J295" i="18"/>
  <c r="F32" i="18"/>
  <c r="J32" i="18"/>
  <c r="F37" i="18"/>
  <c r="J37" i="18"/>
  <c r="J293" i="18"/>
  <c r="F293" i="18"/>
  <c r="J387" i="41"/>
  <c r="J31" i="18"/>
  <c r="F31" i="18"/>
  <c r="D71" i="57"/>
  <c r="G259" i="66"/>
  <c r="O259" i="66" s="1"/>
  <c r="J335" i="41"/>
  <c r="F80" i="18"/>
  <c r="J80" i="18"/>
  <c r="J370" i="41"/>
  <c r="J322" i="41"/>
  <c r="J240" i="41"/>
  <c r="F326" i="18"/>
  <c r="J326" i="18"/>
  <c r="J494" i="58" l="1"/>
  <c r="D76" i="57"/>
  <c r="G266" i="66"/>
  <c r="D67" i="57"/>
  <c r="G274" i="66"/>
  <c r="O274" i="66" s="1"/>
  <c r="G121" i="66"/>
  <c r="D69" i="57"/>
  <c r="G279" i="66"/>
  <c r="E397" i="38"/>
  <c r="N279" i="66" s="1"/>
  <c r="J198" i="41"/>
  <c r="J493" i="58"/>
  <c r="G280" i="66" s="1"/>
  <c r="O280" i="66" s="1"/>
  <c r="D73" i="57"/>
  <c r="D74" i="57"/>
  <c r="J332" i="18"/>
  <c r="D37" i="57"/>
  <c r="E28" i="53"/>
  <c r="F28" i="53" s="1"/>
  <c r="H34" i="53" s="1"/>
  <c r="D40" i="57"/>
  <c r="F329" i="18"/>
  <c r="J335" i="18"/>
  <c r="J227" i="41"/>
  <c r="C54" i="63"/>
  <c r="F40" i="18"/>
  <c r="J238" i="41"/>
  <c r="E403" i="38" s="1"/>
  <c r="G245" i="66"/>
  <c r="O245" i="66" s="1"/>
  <c r="G265" i="66"/>
  <c r="O265" i="66" s="1"/>
  <c r="D31" i="57"/>
  <c r="M48" i="39"/>
  <c r="E180" i="38" s="1"/>
  <c r="G254" i="66"/>
  <c r="O254" i="66" s="1"/>
  <c r="D77" i="57"/>
  <c r="E48" i="39"/>
  <c r="J167" i="41"/>
  <c r="J369" i="41"/>
  <c r="G260" i="66"/>
  <c r="J225" i="41"/>
  <c r="J36" i="18"/>
  <c r="E32" i="53"/>
  <c r="F43" i="18"/>
  <c r="D29" i="57"/>
  <c r="G101" i="66"/>
  <c r="O101" i="66" s="1"/>
  <c r="J39" i="18"/>
  <c r="G120" i="66"/>
  <c r="G120" i="74" s="1"/>
  <c r="D39" i="57"/>
  <c r="G282" i="66"/>
  <c r="G138" i="74" s="1"/>
  <c r="O3" i="58"/>
  <c r="E49" i="39"/>
  <c r="E130" i="38" s="1"/>
  <c r="J457" i="37" s="1"/>
  <c r="M49" i="39"/>
  <c r="E181" i="38" s="1"/>
  <c r="K257" i="66" s="1"/>
  <c r="G113" i="66"/>
  <c r="G113" i="74" s="1"/>
  <c r="J396" i="41"/>
  <c r="E34" i="53"/>
  <c r="F34" i="53" s="1"/>
  <c r="H28" i="53" s="1"/>
  <c r="G111" i="66"/>
  <c r="O111" i="66" s="1"/>
  <c r="D36" i="57"/>
  <c r="G275" i="66"/>
  <c r="G131" i="74" s="1"/>
  <c r="J328" i="18"/>
  <c r="J83" i="18"/>
  <c r="M51" i="39"/>
  <c r="E183" i="38" s="1"/>
  <c r="J465" i="58" s="1"/>
  <c r="G116" i="66"/>
  <c r="G115" i="66"/>
  <c r="G115" i="74" s="1"/>
  <c r="J75" i="18"/>
  <c r="G126" i="66"/>
  <c r="G126" i="74" s="1"/>
  <c r="O7" i="41"/>
  <c r="J303" i="41"/>
  <c r="J184" i="41"/>
  <c r="N135" i="74"/>
  <c r="D32" i="57"/>
  <c r="C24" i="63"/>
  <c r="O279" i="66"/>
  <c r="E51" i="39"/>
  <c r="E132" i="38" s="1"/>
  <c r="K138" i="66" s="1"/>
  <c r="I274" i="18"/>
  <c r="H274" i="18"/>
  <c r="I318" i="18"/>
  <c r="H318" i="18"/>
  <c r="H278" i="18"/>
  <c r="I278" i="18"/>
  <c r="I226" i="58"/>
  <c r="I228" i="58"/>
  <c r="I227" i="58"/>
  <c r="I225" i="58"/>
  <c r="I267" i="58"/>
  <c r="I269" i="58"/>
  <c r="I268" i="58"/>
  <c r="G136" i="66"/>
  <c r="I310" i="18"/>
  <c r="H310" i="18"/>
  <c r="I379" i="58"/>
  <c r="I380" i="58"/>
  <c r="I378" i="58"/>
  <c r="H22" i="18"/>
  <c r="I22" i="18"/>
  <c r="I389" i="37"/>
  <c r="I387" i="37"/>
  <c r="I388" i="37"/>
  <c r="I153" i="37"/>
  <c r="I156" i="37"/>
  <c r="I155" i="37"/>
  <c r="I154" i="37"/>
  <c r="I237" i="37"/>
  <c r="I240" i="37"/>
  <c r="I239" i="37"/>
  <c r="I238" i="37"/>
  <c r="I295" i="37"/>
  <c r="I296" i="37"/>
  <c r="I294" i="37"/>
  <c r="O121" i="66"/>
  <c r="H271" i="18"/>
  <c r="I271" i="18"/>
  <c r="I144" i="58"/>
  <c r="I141" i="58"/>
  <c r="I142" i="58"/>
  <c r="I143" i="58"/>
  <c r="I405" i="58"/>
  <c r="I406" i="58"/>
  <c r="I407" i="58"/>
  <c r="I414" i="58"/>
  <c r="I415" i="58"/>
  <c r="I416" i="58"/>
  <c r="I322" i="18"/>
  <c r="H322" i="18"/>
  <c r="I24" i="18"/>
  <c r="H24" i="18"/>
  <c r="I305" i="37"/>
  <c r="I303" i="37"/>
  <c r="I304" i="37"/>
  <c r="I200" i="37"/>
  <c r="I198" i="37"/>
  <c r="I199" i="37"/>
  <c r="I69" i="18"/>
  <c r="H69" i="18"/>
  <c r="H66" i="18"/>
  <c r="I66" i="18"/>
  <c r="I276" i="18"/>
  <c r="H276" i="18"/>
  <c r="I183" i="58"/>
  <c r="I167" i="58"/>
  <c r="I166" i="58"/>
  <c r="I185" i="58"/>
  <c r="I184" i="58"/>
  <c r="I165" i="58"/>
  <c r="I281" i="18"/>
  <c r="H281" i="18"/>
  <c r="I208" i="58"/>
  <c r="I209" i="58"/>
  <c r="I207" i="58"/>
  <c r="I279" i="18"/>
  <c r="H279" i="18"/>
  <c r="I348" i="58"/>
  <c r="I346" i="58"/>
  <c r="I347" i="58"/>
  <c r="I345" i="58"/>
  <c r="G281" i="66"/>
  <c r="E33" i="53"/>
  <c r="F33" i="53" s="1"/>
  <c r="I333" i="58"/>
  <c r="I335" i="58"/>
  <c r="I334" i="58"/>
  <c r="I336" i="58"/>
  <c r="I321" i="18"/>
  <c r="H321" i="18"/>
  <c r="H320" i="18"/>
  <c r="I320" i="18"/>
  <c r="I269" i="37"/>
  <c r="I268" i="37"/>
  <c r="I267" i="37"/>
  <c r="I226" i="37"/>
  <c r="I225" i="37"/>
  <c r="I228" i="37"/>
  <c r="I227" i="37"/>
  <c r="I360" i="37"/>
  <c r="I359" i="37"/>
  <c r="I358" i="37"/>
  <c r="I357" i="37"/>
  <c r="H63" i="18"/>
  <c r="I63" i="18"/>
  <c r="H60" i="18"/>
  <c r="I60" i="18"/>
  <c r="I276" i="58"/>
  <c r="I277" i="58"/>
  <c r="I278" i="58"/>
  <c r="I240" i="58"/>
  <c r="I238" i="58"/>
  <c r="I237" i="58"/>
  <c r="I239" i="58"/>
  <c r="I313" i="18"/>
  <c r="H313" i="18"/>
  <c r="I28" i="18"/>
  <c r="H28" i="18"/>
  <c r="I61" i="18"/>
  <c r="H61" i="18"/>
  <c r="H62" i="18"/>
  <c r="I62" i="18"/>
  <c r="H64" i="18"/>
  <c r="I64" i="18"/>
  <c r="J494" i="41"/>
  <c r="E27" i="53"/>
  <c r="F27" i="53" s="1"/>
  <c r="G137" i="66"/>
  <c r="I319" i="18"/>
  <c r="H319" i="18"/>
  <c r="I304" i="58"/>
  <c r="I305" i="58"/>
  <c r="I303" i="58"/>
  <c r="I321" i="58"/>
  <c r="I323" i="58"/>
  <c r="I322" i="58"/>
  <c r="I324" i="58"/>
  <c r="I269" i="18"/>
  <c r="H269" i="18"/>
  <c r="I190" i="58"/>
  <c r="I191" i="58"/>
  <c r="I189" i="58"/>
  <c r="I314" i="18"/>
  <c r="H314" i="18"/>
  <c r="I316" i="18"/>
  <c r="H316" i="18"/>
  <c r="I216" i="58"/>
  <c r="I217" i="58"/>
  <c r="I218" i="58"/>
  <c r="H23" i="18"/>
  <c r="I23" i="18"/>
  <c r="I189" i="37"/>
  <c r="I191" i="37"/>
  <c r="I190" i="37"/>
  <c r="I218" i="37"/>
  <c r="I217" i="37"/>
  <c r="I216" i="37"/>
  <c r="I260" i="37"/>
  <c r="I258" i="37"/>
  <c r="I259" i="37"/>
  <c r="I250" i="58"/>
  <c r="I251" i="58"/>
  <c r="I249" i="58"/>
  <c r="G135" i="74"/>
  <c r="O135" i="66"/>
  <c r="H270" i="18"/>
  <c r="I270" i="18"/>
  <c r="I370" i="58"/>
  <c r="I371" i="58"/>
  <c r="I369" i="58"/>
  <c r="I312" i="18"/>
  <c r="H312" i="18"/>
  <c r="I313" i="58"/>
  <c r="I312" i="58"/>
  <c r="I314" i="58"/>
  <c r="H317" i="18"/>
  <c r="I317" i="18"/>
  <c r="I19" i="18"/>
  <c r="H19" i="18"/>
  <c r="H16" i="18"/>
  <c r="I16" i="18"/>
  <c r="I59" i="18"/>
  <c r="H59" i="18"/>
  <c r="H67" i="18"/>
  <c r="I67" i="18"/>
  <c r="G122" i="74"/>
  <c r="H277" i="18"/>
  <c r="I277" i="18"/>
  <c r="I275" i="18"/>
  <c r="H275" i="18"/>
  <c r="I280" i="18"/>
  <c r="H280" i="18"/>
  <c r="I258" i="58"/>
  <c r="I260" i="58"/>
  <c r="I259" i="58"/>
  <c r="I396" i="58"/>
  <c r="I397" i="58"/>
  <c r="I398" i="58"/>
  <c r="I174" i="58"/>
  <c r="I175" i="58"/>
  <c r="I188" i="58"/>
  <c r="I186" i="58"/>
  <c r="I187" i="58"/>
  <c r="I176" i="58"/>
  <c r="H26" i="18"/>
  <c r="I26" i="18"/>
  <c r="I406" i="37"/>
  <c r="I405" i="37"/>
  <c r="I407" i="37"/>
  <c r="I396" i="37"/>
  <c r="I398" i="37"/>
  <c r="I397" i="37"/>
  <c r="I313" i="37"/>
  <c r="I312" i="37"/>
  <c r="I314" i="37"/>
  <c r="E129" i="38"/>
  <c r="I199" i="58"/>
  <c r="I200" i="58"/>
  <c r="I198" i="58"/>
  <c r="O130" i="66"/>
  <c r="G130" i="74"/>
  <c r="I251" i="37"/>
  <c r="I250" i="37"/>
  <c r="I249" i="37"/>
  <c r="I324" i="37"/>
  <c r="I323" i="37"/>
  <c r="I322" i="37"/>
  <c r="I321" i="37"/>
  <c r="I370" i="37"/>
  <c r="I369" i="37"/>
  <c r="I371" i="37"/>
  <c r="H68" i="18"/>
  <c r="I68" i="18"/>
  <c r="I58" i="18"/>
  <c r="H58" i="18"/>
  <c r="I294" i="58"/>
  <c r="I296" i="58"/>
  <c r="I295" i="58"/>
  <c r="I21" i="18"/>
  <c r="H21" i="18"/>
  <c r="H27" i="18"/>
  <c r="I27" i="18"/>
  <c r="H18" i="18"/>
  <c r="I18" i="18"/>
  <c r="I414" i="37"/>
  <c r="I416" i="37"/>
  <c r="I416" i="41" s="1"/>
  <c r="I415" i="37"/>
  <c r="H65" i="18"/>
  <c r="I65" i="18"/>
  <c r="I273" i="18"/>
  <c r="H273" i="18"/>
  <c r="H315" i="18"/>
  <c r="I315" i="18"/>
  <c r="I153" i="58"/>
  <c r="I155" i="58"/>
  <c r="I156" i="58"/>
  <c r="I154" i="58"/>
  <c r="I208" i="37"/>
  <c r="I209" i="37"/>
  <c r="I207" i="37"/>
  <c r="I25" i="18"/>
  <c r="H25" i="18"/>
  <c r="H29" i="18"/>
  <c r="I29" i="18"/>
  <c r="I278" i="37"/>
  <c r="I277" i="37"/>
  <c r="I276" i="37"/>
  <c r="I387" i="58"/>
  <c r="I389" i="58"/>
  <c r="I388" i="58"/>
  <c r="I323" i="18"/>
  <c r="H323" i="18"/>
  <c r="H311" i="18"/>
  <c r="I311" i="18"/>
  <c r="I347" i="37"/>
  <c r="I346" i="37"/>
  <c r="I348" i="37"/>
  <c r="I345" i="37"/>
  <c r="I167" i="37"/>
  <c r="I183" i="37"/>
  <c r="I185" i="37"/>
  <c r="I184" i="37"/>
  <c r="I165" i="37"/>
  <c r="I166" i="37"/>
  <c r="I20" i="18"/>
  <c r="H20" i="18"/>
  <c r="H70" i="18"/>
  <c r="I70" i="18"/>
  <c r="I378" i="37"/>
  <c r="I378" i="41" s="1"/>
  <c r="I380" i="37"/>
  <c r="I380" i="41" s="1"/>
  <c r="I379" i="37"/>
  <c r="I286" i="58"/>
  <c r="I287" i="58"/>
  <c r="I285" i="58"/>
  <c r="H272" i="18"/>
  <c r="I272" i="18"/>
  <c r="H268" i="18"/>
  <c r="I268" i="18"/>
  <c r="I360" i="58"/>
  <c r="I359" i="58"/>
  <c r="I358" i="58"/>
  <c r="I357" i="58"/>
  <c r="I143" i="37"/>
  <c r="I144" i="37"/>
  <c r="I141" i="37"/>
  <c r="I142" i="37"/>
  <c r="I287" i="37"/>
  <c r="I286" i="37"/>
  <c r="I285" i="37"/>
  <c r="H17" i="18"/>
  <c r="I17" i="18"/>
  <c r="I176" i="37"/>
  <c r="I188" i="37"/>
  <c r="I174" i="37"/>
  <c r="I187" i="37"/>
  <c r="I175" i="37"/>
  <c r="I186" i="37"/>
  <c r="I335" i="37"/>
  <c r="I333" i="37"/>
  <c r="I333" i="41" s="1"/>
  <c r="I334" i="37"/>
  <c r="I336" i="37"/>
  <c r="H71" i="18"/>
  <c r="I71" i="18"/>
  <c r="O110" i="66"/>
  <c r="I183" i="41" l="1"/>
  <c r="J496" i="58"/>
  <c r="J497" i="58"/>
  <c r="J495" i="58"/>
  <c r="E47" i="39"/>
  <c r="E128" i="38" s="1"/>
  <c r="M47" i="39"/>
  <c r="E179" i="38" s="1"/>
  <c r="D32" i="53" s="1"/>
  <c r="F32" i="53" s="1"/>
  <c r="H26" i="53" s="1"/>
  <c r="E400" i="38"/>
  <c r="J495" i="37" s="1"/>
  <c r="I415" i="41"/>
  <c r="I276" i="41"/>
  <c r="J493" i="41"/>
  <c r="I175" i="41"/>
  <c r="G28" i="53"/>
  <c r="E334" i="38" s="1"/>
  <c r="I336" i="41"/>
  <c r="I186" i="41"/>
  <c r="I335" i="41"/>
  <c r="I208" i="41"/>
  <c r="G111" i="74"/>
  <c r="G101" i="74"/>
  <c r="I379" i="41"/>
  <c r="G110" i="74"/>
  <c r="O110" i="74" s="1"/>
  <c r="G121" i="74"/>
  <c r="G116" i="74"/>
  <c r="I167" i="41"/>
  <c r="O115" i="66"/>
  <c r="Z259" i="66" s="1"/>
  <c r="I348" i="41"/>
  <c r="K113" i="66"/>
  <c r="T113" i="66" s="1"/>
  <c r="I227" i="41"/>
  <c r="I187" i="41"/>
  <c r="G34" i="53"/>
  <c r="E340" i="38" s="1"/>
  <c r="I414" i="41"/>
  <c r="I166" i="41"/>
  <c r="I334" i="41"/>
  <c r="I209" i="41"/>
  <c r="I346" i="41"/>
  <c r="O120" i="66"/>
  <c r="AA264" i="66" s="1"/>
  <c r="I277" i="41"/>
  <c r="I269" i="41"/>
  <c r="I188" i="41"/>
  <c r="I406" i="41"/>
  <c r="I184" i="41"/>
  <c r="J457" i="58"/>
  <c r="J457" i="41" s="1"/>
  <c r="I278" i="41"/>
  <c r="I405" i="41"/>
  <c r="I226" i="41"/>
  <c r="I174" i="41"/>
  <c r="I268" i="41"/>
  <c r="I407" i="41"/>
  <c r="K282" i="66"/>
  <c r="O282" i="66" s="1"/>
  <c r="I371" i="41"/>
  <c r="I228" i="41"/>
  <c r="I322" i="41"/>
  <c r="I314" i="41"/>
  <c r="I217" i="41"/>
  <c r="J455" i="58"/>
  <c r="I250" i="41"/>
  <c r="I185" i="41"/>
  <c r="E50" i="39"/>
  <c r="E131" i="38" s="1"/>
  <c r="M50" i="39"/>
  <c r="E182" i="38" s="1"/>
  <c r="I323" i="41"/>
  <c r="I324" i="41"/>
  <c r="I313" i="41"/>
  <c r="I347" i="41"/>
  <c r="I312" i="41"/>
  <c r="I176" i="41"/>
  <c r="I251" i="41"/>
  <c r="I216" i="41"/>
  <c r="I370" i="41"/>
  <c r="I397" i="41"/>
  <c r="O138" i="66"/>
  <c r="J465" i="37"/>
  <c r="J465" i="41" s="1"/>
  <c r="I396" i="41"/>
  <c r="I287" i="41"/>
  <c r="AC115" i="74"/>
  <c r="O115" i="74"/>
  <c r="D17" i="57"/>
  <c r="I321" i="41"/>
  <c r="G87" i="66"/>
  <c r="E393" i="38"/>
  <c r="N87" i="66" s="1"/>
  <c r="I494" i="37"/>
  <c r="I493" i="37"/>
  <c r="J456" i="37"/>
  <c r="K122" i="66"/>
  <c r="F16" i="18"/>
  <c r="J16" i="18"/>
  <c r="I259" i="41"/>
  <c r="F269" i="18"/>
  <c r="J269" i="18"/>
  <c r="I225" i="41"/>
  <c r="D16" i="57"/>
  <c r="G53" i="66"/>
  <c r="I295" i="41"/>
  <c r="I389" i="41"/>
  <c r="X257" i="66"/>
  <c r="T257" i="66"/>
  <c r="Q257" i="66"/>
  <c r="J71" i="18"/>
  <c r="F71" i="18"/>
  <c r="J17" i="18"/>
  <c r="F17" i="18"/>
  <c r="I285" i="41"/>
  <c r="G82" i="66"/>
  <c r="D24" i="57"/>
  <c r="F268" i="18"/>
  <c r="J268" i="18"/>
  <c r="F311" i="18"/>
  <c r="J311" i="18"/>
  <c r="E23" i="34"/>
  <c r="I258" i="41"/>
  <c r="F64" i="18"/>
  <c r="J64" i="18"/>
  <c r="J313" i="18"/>
  <c r="F313" i="18"/>
  <c r="H27" i="53"/>
  <c r="G27" i="53" s="1"/>
  <c r="F281" i="18"/>
  <c r="J281" i="18"/>
  <c r="F322" i="18"/>
  <c r="J322" i="18"/>
  <c r="E20" i="53"/>
  <c r="G212" i="66"/>
  <c r="I238" i="41"/>
  <c r="F22" i="18"/>
  <c r="J22" i="18"/>
  <c r="G207" i="66"/>
  <c r="O207" i="66" s="1"/>
  <c r="D62" i="57"/>
  <c r="Z254" i="66"/>
  <c r="AA254" i="66"/>
  <c r="AA110" i="66"/>
  <c r="Z110" i="66"/>
  <c r="I286" i="41"/>
  <c r="J20" i="18"/>
  <c r="F20" i="18"/>
  <c r="AA101" i="66"/>
  <c r="J5" i="6"/>
  <c r="AA245" i="66"/>
  <c r="Z245" i="66"/>
  <c r="Z101" i="66"/>
  <c r="J270" i="18"/>
  <c r="F270" i="18"/>
  <c r="I260" i="41"/>
  <c r="J60" i="18"/>
  <c r="F60" i="18"/>
  <c r="G63" i="66"/>
  <c r="D23" i="57"/>
  <c r="I267" i="41"/>
  <c r="G211" i="66"/>
  <c r="O211" i="66" s="1"/>
  <c r="D58" i="57"/>
  <c r="J69" i="18"/>
  <c r="F69" i="18"/>
  <c r="D54" i="57"/>
  <c r="G218" i="66"/>
  <c r="I239" i="41"/>
  <c r="G197" i="66"/>
  <c r="O197" i="66" s="1"/>
  <c r="D55" i="57"/>
  <c r="F19" i="18"/>
  <c r="J19" i="18"/>
  <c r="J316" i="18"/>
  <c r="F316" i="18"/>
  <c r="F62" i="18"/>
  <c r="J62" i="18"/>
  <c r="G206" i="66"/>
  <c r="O206" i="66" s="1"/>
  <c r="D64" i="57"/>
  <c r="I199" i="41"/>
  <c r="C44" i="63"/>
  <c r="I240" i="41"/>
  <c r="Q138" i="66"/>
  <c r="T138" i="66"/>
  <c r="X138" i="66"/>
  <c r="J272" i="18"/>
  <c r="F272" i="18"/>
  <c r="J315" i="18"/>
  <c r="F315" i="18"/>
  <c r="I142" i="41"/>
  <c r="G68" i="66"/>
  <c r="E14" i="53"/>
  <c r="G67" i="66"/>
  <c r="D19" i="57"/>
  <c r="I165" i="41"/>
  <c r="J323" i="18"/>
  <c r="F323" i="18"/>
  <c r="J29" i="18"/>
  <c r="F29" i="18"/>
  <c r="J18" i="18"/>
  <c r="F18" i="18"/>
  <c r="J58" i="18"/>
  <c r="F58" i="18"/>
  <c r="N3" i="37"/>
  <c r="I249" i="41"/>
  <c r="D21" i="57"/>
  <c r="G90" i="66"/>
  <c r="F280" i="18"/>
  <c r="J280" i="18"/>
  <c r="F317" i="18"/>
  <c r="J317" i="18"/>
  <c r="AA279" i="66"/>
  <c r="Z279" i="66"/>
  <c r="AA135" i="66"/>
  <c r="Z135" i="66"/>
  <c r="I493" i="58"/>
  <c r="G232" i="66" s="1"/>
  <c r="O232" i="66" s="1"/>
  <c r="I494" i="58"/>
  <c r="E396" i="38"/>
  <c r="N231" i="66" s="1"/>
  <c r="D56" i="57"/>
  <c r="G231" i="66"/>
  <c r="J63" i="18"/>
  <c r="F63" i="18"/>
  <c r="I198" i="41"/>
  <c r="F271" i="18"/>
  <c r="J271" i="18"/>
  <c r="I237" i="41"/>
  <c r="D15" i="57"/>
  <c r="I141" i="41"/>
  <c r="G74" i="66"/>
  <c r="D63" i="57"/>
  <c r="G226" i="66"/>
  <c r="O226" i="66" s="1"/>
  <c r="F68" i="18"/>
  <c r="J68" i="18"/>
  <c r="AC135" i="74"/>
  <c r="O135" i="74"/>
  <c r="I218" i="41"/>
  <c r="F314" i="18"/>
  <c r="J314" i="18"/>
  <c r="G222" i="66"/>
  <c r="D61" i="57"/>
  <c r="F320" i="18"/>
  <c r="J320" i="18"/>
  <c r="I200" i="41"/>
  <c r="J456" i="58"/>
  <c r="K266" i="66"/>
  <c r="I154" i="41"/>
  <c r="AC110" i="74"/>
  <c r="C14" i="63"/>
  <c r="I144" i="41"/>
  <c r="J27" i="18"/>
  <c r="F27" i="18"/>
  <c r="I398" i="41"/>
  <c r="J275" i="18"/>
  <c r="F275" i="18"/>
  <c r="N3" i="58"/>
  <c r="D60" i="57"/>
  <c r="G234" i="66"/>
  <c r="I190" i="41"/>
  <c r="J61" i="18"/>
  <c r="F61" i="18"/>
  <c r="I357" i="41"/>
  <c r="I155" i="41"/>
  <c r="J278" i="18"/>
  <c r="F278" i="18"/>
  <c r="C31" i="63"/>
  <c r="J495" i="41"/>
  <c r="O3" i="41" s="1"/>
  <c r="C22" i="63"/>
  <c r="I143" i="41"/>
  <c r="F25" i="18"/>
  <c r="J25" i="18"/>
  <c r="J273" i="18"/>
  <c r="F273" i="18"/>
  <c r="Q113" i="66"/>
  <c r="X113" i="66"/>
  <c r="AC130" i="74"/>
  <c r="O130" i="74"/>
  <c r="I191" i="41"/>
  <c r="Z111" i="66"/>
  <c r="AA111" i="66"/>
  <c r="Z255" i="66"/>
  <c r="AA255" i="66"/>
  <c r="I358" i="41"/>
  <c r="I304" i="41"/>
  <c r="I156" i="41"/>
  <c r="G227" i="66"/>
  <c r="D66" i="57"/>
  <c r="E22" i="53"/>
  <c r="F22" i="53" s="1"/>
  <c r="D18" i="57"/>
  <c r="I207" i="41"/>
  <c r="G65" i="66"/>
  <c r="J65" i="18"/>
  <c r="F65" i="18"/>
  <c r="AA130" i="66"/>
  <c r="AA274" i="66"/>
  <c r="Z130" i="66"/>
  <c r="Z274" i="66"/>
  <c r="AC120" i="74"/>
  <c r="O120" i="74"/>
  <c r="J67" i="18"/>
  <c r="F67" i="18"/>
  <c r="G73" i="66"/>
  <c r="I189" i="41"/>
  <c r="D20" i="57"/>
  <c r="D59" i="57"/>
  <c r="G217" i="66"/>
  <c r="O217" i="66" s="1"/>
  <c r="I359" i="41"/>
  <c r="F321" i="18"/>
  <c r="J321" i="18"/>
  <c r="F279" i="18"/>
  <c r="J279" i="18"/>
  <c r="D22" i="57"/>
  <c r="I303" i="41"/>
  <c r="G78" i="66"/>
  <c r="Z265" i="66"/>
  <c r="Z121" i="66"/>
  <c r="AA265" i="66"/>
  <c r="AA121" i="66"/>
  <c r="I153" i="41"/>
  <c r="F310" i="18"/>
  <c r="J310" i="18"/>
  <c r="I345" i="41"/>
  <c r="D25" i="57"/>
  <c r="G62" i="66"/>
  <c r="J21" i="18"/>
  <c r="F21" i="18"/>
  <c r="F277" i="18"/>
  <c r="J277" i="18"/>
  <c r="C61" i="63"/>
  <c r="C52" i="63"/>
  <c r="F23" i="18"/>
  <c r="J23" i="18"/>
  <c r="J319" i="18"/>
  <c r="F319" i="18"/>
  <c r="I360" i="41"/>
  <c r="G209" i="66"/>
  <c r="D57" i="57"/>
  <c r="F276" i="18"/>
  <c r="J276" i="18"/>
  <c r="I305" i="41"/>
  <c r="AC121" i="74"/>
  <c r="J455" i="37"/>
  <c r="D26" i="53"/>
  <c r="F26" i="53" s="1"/>
  <c r="K116" i="66"/>
  <c r="F318" i="18"/>
  <c r="J318" i="18"/>
  <c r="D26" i="57"/>
  <c r="I369" i="41"/>
  <c r="G72" i="66"/>
  <c r="F312" i="18"/>
  <c r="J312" i="18"/>
  <c r="E414" i="38"/>
  <c r="G276" i="66"/>
  <c r="G137" i="74"/>
  <c r="I294" i="41"/>
  <c r="I388" i="41"/>
  <c r="G136" i="74"/>
  <c r="O136" i="66"/>
  <c r="F70" i="18"/>
  <c r="J70" i="18"/>
  <c r="F26" i="18"/>
  <c r="J26" i="18"/>
  <c r="F59" i="18"/>
  <c r="J59" i="18"/>
  <c r="G216" i="66"/>
  <c r="O216" i="66" s="1"/>
  <c r="D65" i="57"/>
  <c r="E415" i="38"/>
  <c r="G277" i="66"/>
  <c r="H33" i="53"/>
  <c r="G33" i="53" s="1"/>
  <c r="F28" i="18"/>
  <c r="J28" i="18"/>
  <c r="F66" i="18"/>
  <c r="J66" i="18"/>
  <c r="J24" i="18"/>
  <c r="F24" i="18"/>
  <c r="I296" i="41"/>
  <c r="D27" i="57"/>
  <c r="I387" i="41"/>
  <c r="E16" i="53"/>
  <c r="F16" i="53" s="1"/>
  <c r="G83" i="66"/>
  <c r="F274" i="18"/>
  <c r="J274" i="18"/>
  <c r="AE120" i="74" l="1"/>
  <c r="AG120" i="74"/>
  <c r="AE130" i="74"/>
  <c r="AG130" i="74"/>
  <c r="AE110" i="74"/>
  <c r="AF110" i="74" s="1"/>
  <c r="AG110" i="74"/>
  <c r="AE115" i="74"/>
  <c r="AG115" i="74"/>
  <c r="J27" i="77" s="1"/>
  <c r="L27" i="77" s="1"/>
  <c r="AE135" i="74"/>
  <c r="AG135" i="74"/>
  <c r="AE121" i="74"/>
  <c r="AF121" i="74" s="1"/>
  <c r="D30" i="77" s="1"/>
  <c r="AG121" i="74"/>
  <c r="J30" i="77" s="1"/>
  <c r="L30" i="77" s="1"/>
  <c r="O121" i="74"/>
  <c r="AC101" i="74"/>
  <c r="O111" i="74"/>
  <c r="Z282" i="66"/>
  <c r="Q282" i="66"/>
  <c r="G24" i="39"/>
  <c r="T282" i="66"/>
  <c r="X282" i="66"/>
  <c r="K138" i="74"/>
  <c r="O138" i="74" s="1"/>
  <c r="E328" i="38"/>
  <c r="M131" i="66" s="1"/>
  <c r="K260" i="66"/>
  <c r="K116" i="74" s="1"/>
  <c r="D48" i="39"/>
  <c r="AA138" i="66"/>
  <c r="O101" i="74"/>
  <c r="J496" i="37"/>
  <c r="E409" i="38" s="1"/>
  <c r="M133" i="66" s="1"/>
  <c r="J497" i="37"/>
  <c r="E408" i="38" s="1"/>
  <c r="M132" i="66" s="1"/>
  <c r="AC111" i="74"/>
  <c r="Z264" i="66"/>
  <c r="Z138" i="66"/>
  <c r="AA282" i="66"/>
  <c r="AA120" i="66"/>
  <c r="Z120" i="66"/>
  <c r="P282" i="66"/>
  <c r="W282" i="66" s="1"/>
  <c r="Z115" i="66"/>
  <c r="AA259" i="66"/>
  <c r="P138" i="66"/>
  <c r="AA115" i="66"/>
  <c r="L50" i="39"/>
  <c r="E165" i="38" s="1"/>
  <c r="K222" i="66" s="1"/>
  <c r="O222" i="66" s="1"/>
  <c r="K113" i="74"/>
  <c r="N8" i="41"/>
  <c r="E346" i="38"/>
  <c r="N275" i="66" s="1"/>
  <c r="D49" i="39"/>
  <c r="E113" i="38" s="1"/>
  <c r="K65" i="66" s="1"/>
  <c r="N9" i="41"/>
  <c r="N7" i="41"/>
  <c r="D51" i="39"/>
  <c r="E115" i="38" s="1"/>
  <c r="I465" i="37" s="1"/>
  <c r="K270" i="66"/>
  <c r="J464" i="58"/>
  <c r="J464" i="37"/>
  <c r="K126" i="66"/>
  <c r="D47" i="39"/>
  <c r="E111" i="38" s="1"/>
  <c r="K68" i="66" s="1"/>
  <c r="L51" i="39"/>
  <c r="E166" i="38" s="1"/>
  <c r="I465" i="58" s="1"/>
  <c r="L47" i="39"/>
  <c r="E162" i="38" s="1"/>
  <c r="I455" i="58" s="1"/>
  <c r="L48" i="39"/>
  <c r="E163" i="38" s="1"/>
  <c r="D50" i="39"/>
  <c r="E114" i="38" s="1"/>
  <c r="I464" i="37" s="1"/>
  <c r="E345" i="38"/>
  <c r="N281" i="66" s="1"/>
  <c r="E339" i="38"/>
  <c r="G73" i="74"/>
  <c r="O73" i="66"/>
  <c r="G65" i="74"/>
  <c r="AD111" i="74"/>
  <c r="F25" i="77" s="1"/>
  <c r="AA110" i="74"/>
  <c r="Z110" i="74"/>
  <c r="E399" i="38"/>
  <c r="AA101" i="74"/>
  <c r="Z101" i="74"/>
  <c r="J456" i="41"/>
  <c r="H32" i="53"/>
  <c r="G32" i="53" s="1"/>
  <c r="G26" i="53"/>
  <c r="AA111" i="74"/>
  <c r="Z111" i="74"/>
  <c r="I493" i="41"/>
  <c r="G88" i="66"/>
  <c r="J455" i="41"/>
  <c r="AA130" i="74"/>
  <c r="Z130" i="74"/>
  <c r="G74" i="74"/>
  <c r="G68" i="74"/>
  <c r="G82" i="74"/>
  <c r="O82" i="66"/>
  <c r="I494" i="41"/>
  <c r="E15" i="53"/>
  <c r="F15" i="53" s="1"/>
  <c r="G89" i="66"/>
  <c r="E112" i="38"/>
  <c r="G53" i="74"/>
  <c r="O53" i="66"/>
  <c r="N87" i="74"/>
  <c r="J487" i="37"/>
  <c r="AA136" i="66"/>
  <c r="AA280" i="66"/>
  <c r="Z136" i="66"/>
  <c r="Z280" i="66"/>
  <c r="AA121" i="74"/>
  <c r="Z121" i="74"/>
  <c r="AD120" i="74"/>
  <c r="AF120" i="74"/>
  <c r="Q113" i="74"/>
  <c r="T113" i="74"/>
  <c r="X113" i="74"/>
  <c r="Z135" i="74"/>
  <c r="AA135" i="74"/>
  <c r="O63" i="66"/>
  <c r="G63" i="74"/>
  <c r="M275" i="66"/>
  <c r="J483" i="58"/>
  <c r="G87" i="74"/>
  <c r="O87" i="66"/>
  <c r="J488" i="58"/>
  <c r="M276" i="66"/>
  <c r="O276" i="66" s="1"/>
  <c r="T266" i="66"/>
  <c r="X266" i="66"/>
  <c r="Q266" i="66"/>
  <c r="O266" i="66"/>
  <c r="AF135" i="74"/>
  <c r="AD135" i="74"/>
  <c r="E402" i="38"/>
  <c r="E24" i="34"/>
  <c r="E15" i="34"/>
  <c r="D15" i="34" s="1"/>
  <c r="AD121" i="74"/>
  <c r="F30" i="77" s="1"/>
  <c r="AA120" i="74"/>
  <c r="Z120" i="74"/>
  <c r="V138" i="66"/>
  <c r="W138" i="66"/>
  <c r="Y138" i="66" s="1"/>
  <c r="R138" i="66"/>
  <c r="S138" i="66" s="1"/>
  <c r="U138" i="66" s="1"/>
  <c r="P138" i="74"/>
  <c r="Z138" i="74"/>
  <c r="AA138" i="74"/>
  <c r="O231" i="66"/>
  <c r="AA115" i="74"/>
  <c r="Z115" i="74"/>
  <c r="O72" i="66"/>
  <c r="G72" i="74"/>
  <c r="AD130" i="74"/>
  <c r="AF130" i="74"/>
  <c r="L49" i="39"/>
  <c r="E164" i="38" s="1"/>
  <c r="AD115" i="74"/>
  <c r="F27" i="77" s="1"/>
  <c r="AF115" i="74"/>
  <c r="D27" i="77" s="1"/>
  <c r="M277" i="66"/>
  <c r="O277" i="66" s="1"/>
  <c r="J487" i="58"/>
  <c r="G90" i="74"/>
  <c r="X138" i="74"/>
  <c r="Q138" i="74"/>
  <c r="H22" i="53"/>
  <c r="G22" i="53" s="1"/>
  <c r="H16" i="53"/>
  <c r="G16" i="53" s="1"/>
  <c r="E333" i="38"/>
  <c r="E327" i="38"/>
  <c r="G78" i="74"/>
  <c r="G233" i="66"/>
  <c r="E21" i="53"/>
  <c r="F21" i="53" s="1"/>
  <c r="D18" i="8"/>
  <c r="N131" i="66"/>
  <c r="N131" i="74" s="1"/>
  <c r="T116" i="66"/>
  <c r="X116" i="66"/>
  <c r="AC136" i="74"/>
  <c r="O136" i="74"/>
  <c r="G83" i="74"/>
  <c r="G62" i="74"/>
  <c r="O62" i="66"/>
  <c r="AD110" i="74"/>
  <c r="G67" i="74"/>
  <c r="O67" i="66"/>
  <c r="AD101" i="74"/>
  <c r="F23" i="77" s="1"/>
  <c r="K122" i="74"/>
  <c r="T122" i="66"/>
  <c r="X122" i="66"/>
  <c r="Q122" i="66"/>
  <c r="O122" i="66"/>
  <c r="G21" i="39"/>
  <c r="V282" i="66" l="1"/>
  <c r="R282" i="66"/>
  <c r="S282" i="66" s="1"/>
  <c r="U282" i="66" s="1"/>
  <c r="T138" i="74"/>
  <c r="J488" i="37"/>
  <c r="G132" i="66"/>
  <c r="G132" i="74" s="1"/>
  <c r="J483" i="37"/>
  <c r="J483" i="41" s="1"/>
  <c r="AE111" i="74"/>
  <c r="AF111" i="74" s="1"/>
  <c r="D25" i="77" s="1"/>
  <c r="AG111" i="74"/>
  <c r="J25" i="77" s="1"/>
  <c r="L25" i="77" s="1"/>
  <c r="AE101" i="74"/>
  <c r="AF101" i="74" s="1"/>
  <c r="D23" i="77" s="1"/>
  <c r="AG101" i="74"/>
  <c r="J23" i="77" s="1"/>
  <c r="L23" i="77" s="1"/>
  <c r="AE136" i="74"/>
  <c r="AG136" i="74"/>
  <c r="Y282" i="66"/>
  <c r="AC138" i="74"/>
  <c r="G133" i="66"/>
  <c r="G133" i="74" s="1"/>
  <c r="J496" i="41"/>
  <c r="D20" i="53"/>
  <c r="F20" i="53" s="1"/>
  <c r="H14" i="53" s="1"/>
  <c r="T260" i="66"/>
  <c r="X260" i="66"/>
  <c r="J497" i="41"/>
  <c r="I464" i="58"/>
  <c r="I464" i="41" s="1"/>
  <c r="I457" i="37"/>
  <c r="D14" i="53"/>
  <c r="F14" i="53" s="1"/>
  <c r="H20" i="53" s="1"/>
  <c r="I455" i="37"/>
  <c r="I455" i="41" s="1"/>
  <c r="K90" i="66"/>
  <c r="O90" i="66" s="1"/>
  <c r="K78" i="66"/>
  <c r="O78" i="66" s="1"/>
  <c r="P222" i="66" s="1"/>
  <c r="K234" i="66"/>
  <c r="T234" i="66" s="1"/>
  <c r="G23" i="39"/>
  <c r="T126" i="66"/>
  <c r="X126" i="66"/>
  <c r="K126" i="74"/>
  <c r="O126" i="66"/>
  <c r="Q126" i="66"/>
  <c r="J464" i="41"/>
  <c r="O270" i="66"/>
  <c r="X270" i="66"/>
  <c r="T270" i="66"/>
  <c r="Q270" i="66"/>
  <c r="K212" i="66"/>
  <c r="K68" i="74" s="1"/>
  <c r="E316" i="38"/>
  <c r="E322" i="38"/>
  <c r="N227" i="66" s="1"/>
  <c r="T122" i="74"/>
  <c r="Q122" i="74"/>
  <c r="X122" i="74"/>
  <c r="AC122" i="74"/>
  <c r="O122" i="74"/>
  <c r="X116" i="74"/>
  <c r="T116" i="74"/>
  <c r="K209" i="66"/>
  <c r="K65" i="74" s="1"/>
  <c r="I457" i="58"/>
  <c r="I457" i="41" s="1"/>
  <c r="AC87" i="74"/>
  <c r="O87" i="74"/>
  <c r="Z226" i="66"/>
  <c r="Z82" i="66"/>
  <c r="AA226" i="66"/>
  <c r="AA82" i="66"/>
  <c r="E332" i="38"/>
  <c r="E326" i="38"/>
  <c r="H15" i="53"/>
  <c r="G15" i="53" s="1"/>
  <c r="Z266" i="66"/>
  <c r="Z122" i="66"/>
  <c r="AA122" i="66"/>
  <c r="AA266" i="66"/>
  <c r="P122" i="66"/>
  <c r="E310" i="38"/>
  <c r="E304" i="38"/>
  <c r="W138" i="74"/>
  <c r="Y138" i="74" s="1"/>
  <c r="V138" i="74"/>
  <c r="R138" i="74"/>
  <c r="S138" i="74" s="1"/>
  <c r="U138" i="74" s="1"/>
  <c r="O82" i="74"/>
  <c r="AC82" i="74"/>
  <c r="E344" i="38"/>
  <c r="N260" i="66" s="1"/>
  <c r="E338" i="38"/>
  <c r="O67" i="74"/>
  <c r="AC67" i="74"/>
  <c r="AA62" i="66"/>
  <c r="Z206" i="66"/>
  <c r="Z62" i="66"/>
  <c r="AA206" i="66"/>
  <c r="Q275" i="66"/>
  <c r="O275" i="66"/>
  <c r="I5" i="6"/>
  <c r="Z53" i="66"/>
  <c r="Z197" i="66"/>
  <c r="AA197" i="66"/>
  <c r="AA53" i="66"/>
  <c r="O62" i="74"/>
  <c r="AC62" i="74"/>
  <c r="P266" i="66"/>
  <c r="O63" i="74"/>
  <c r="AC63" i="74"/>
  <c r="O53" i="74"/>
  <c r="AC53" i="74"/>
  <c r="G88" i="74"/>
  <c r="O88" i="66"/>
  <c r="D23" i="34"/>
  <c r="D24" i="34" s="1"/>
  <c r="M131" i="74"/>
  <c r="Q131" i="66"/>
  <c r="O131" i="66"/>
  <c r="Z216" i="66"/>
  <c r="AA216" i="66"/>
  <c r="Z72" i="66"/>
  <c r="AA72" i="66"/>
  <c r="I465" i="41"/>
  <c r="O72" i="74"/>
  <c r="AC72" i="74"/>
  <c r="E21" i="34"/>
  <c r="E275" i="38"/>
  <c r="E230" i="38"/>
  <c r="Z63" i="66"/>
  <c r="Z207" i="66"/>
  <c r="AA207" i="66"/>
  <c r="AA63" i="66"/>
  <c r="Q277" i="66"/>
  <c r="X68" i="66"/>
  <c r="T68" i="66"/>
  <c r="I495" i="37"/>
  <c r="I496" i="37"/>
  <c r="I497" i="37"/>
  <c r="Z217" i="66"/>
  <c r="AA73" i="66"/>
  <c r="Z73" i="66"/>
  <c r="AA217" i="66"/>
  <c r="Q222" i="66"/>
  <c r="T222" i="66"/>
  <c r="X222" i="66"/>
  <c r="AA136" i="74"/>
  <c r="Z136" i="74"/>
  <c r="X234" i="66"/>
  <c r="I456" i="37"/>
  <c r="K74" i="66"/>
  <c r="J488" i="41"/>
  <c r="AC73" i="74"/>
  <c r="O73" i="74"/>
  <c r="J482" i="37"/>
  <c r="M137" i="66"/>
  <c r="AD136" i="74"/>
  <c r="AF136" i="74"/>
  <c r="D17" i="8"/>
  <c r="N137" i="66"/>
  <c r="N137" i="74" s="1"/>
  <c r="Q132" i="66"/>
  <c r="M132" i="74"/>
  <c r="O132" i="74" s="1"/>
  <c r="Z67" i="66"/>
  <c r="Z211" i="66"/>
  <c r="AA211" i="66"/>
  <c r="AA67" i="66"/>
  <c r="Q276" i="66"/>
  <c r="G89" i="74"/>
  <c r="T65" i="66"/>
  <c r="X65" i="66"/>
  <c r="Q65" i="66"/>
  <c r="M133" i="74"/>
  <c r="AC133" i="74" s="1"/>
  <c r="Q133" i="66"/>
  <c r="H21" i="53"/>
  <c r="G21" i="53" s="1"/>
  <c r="I495" i="58"/>
  <c r="I496" i="58"/>
  <c r="I497" i="58"/>
  <c r="Z87" i="66"/>
  <c r="AA87" i="66"/>
  <c r="AA231" i="66"/>
  <c r="Z231" i="66"/>
  <c r="J487" i="41"/>
  <c r="J482" i="58"/>
  <c r="M281" i="66"/>
  <c r="I456" i="58"/>
  <c r="K218" i="66"/>
  <c r="Q234" i="66" l="1"/>
  <c r="O132" i="66"/>
  <c r="AE82" i="74"/>
  <c r="AG82" i="74"/>
  <c r="AE87" i="74"/>
  <c r="AG87" i="74"/>
  <c r="AE72" i="74"/>
  <c r="AG72" i="74"/>
  <c r="AE133" i="74"/>
  <c r="AG133" i="74"/>
  <c r="AE63" i="74"/>
  <c r="AF63" i="74" s="1"/>
  <c r="AG63" i="74"/>
  <c r="AE138" i="74"/>
  <c r="AG138" i="74"/>
  <c r="J34" i="77" s="1"/>
  <c r="L34" i="77" s="1"/>
  <c r="AE53" i="74"/>
  <c r="AG53" i="74"/>
  <c r="AE62" i="74"/>
  <c r="AG62" i="74"/>
  <c r="AE122" i="74"/>
  <c r="AF122" i="74" s="1"/>
  <c r="AG122" i="74"/>
  <c r="AE73" i="74"/>
  <c r="AG73" i="74"/>
  <c r="AE67" i="74"/>
  <c r="AG67" i="74"/>
  <c r="AF138" i="74"/>
  <c r="D34" i="77" s="1"/>
  <c r="AD138" i="74"/>
  <c r="F34" i="77" s="1"/>
  <c r="O133" i="66"/>
  <c r="AA277" i="66" s="1"/>
  <c r="G20" i="53"/>
  <c r="K90" i="74"/>
  <c r="O90" i="74" s="1"/>
  <c r="P90" i="74" s="1"/>
  <c r="X90" i="66"/>
  <c r="T212" i="66"/>
  <c r="X212" i="66"/>
  <c r="T90" i="66"/>
  <c r="G14" i="53"/>
  <c r="E308" i="38" s="1"/>
  <c r="Q90" i="66"/>
  <c r="P78" i="66"/>
  <c r="V78" i="66" s="1"/>
  <c r="AA222" i="66"/>
  <c r="AA78" i="66"/>
  <c r="Z78" i="66"/>
  <c r="Z222" i="66"/>
  <c r="F23" i="39"/>
  <c r="T78" i="66"/>
  <c r="Q78" i="66"/>
  <c r="K78" i="74"/>
  <c r="AC78" i="74" s="1"/>
  <c r="AG78" i="74" s="1"/>
  <c r="X78" i="66"/>
  <c r="P270" i="66"/>
  <c r="V270" i="66" s="1"/>
  <c r="O234" i="66"/>
  <c r="F24" i="39"/>
  <c r="AA126" i="66"/>
  <c r="Z126" i="66"/>
  <c r="Z270" i="66"/>
  <c r="P126" i="66"/>
  <c r="AA270" i="66"/>
  <c r="O126" i="74"/>
  <c r="AC126" i="74"/>
  <c r="T126" i="74"/>
  <c r="Q126" i="74"/>
  <c r="X126" i="74"/>
  <c r="O133" i="74"/>
  <c r="AA133" i="74" s="1"/>
  <c r="AF133" i="74"/>
  <c r="AD133" i="74"/>
  <c r="E320" i="38"/>
  <c r="N212" i="66" s="1"/>
  <c r="E314" i="38"/>
  <c r="P132" i="74"/>
  <c r="AA132" i="74"/>
  <c r="Z132" i="74"/>
  <c r="E315" i="38"/>
  <c r="E321" i="38"/>
  <c r="N233" i="66" s="1"/>
  <c r="M137" i="74"/>
  <c r="Q137" i="66"/>
  <c r="O137" i="66"/>
  <c r="AA90" i="74"/>
  <c r="Z72" i="74"/>
  <c r="AA72" i="74"/>
  <c r="Q131" i="74"/>
  <c r="AC131" i="74"/>
  <c r="O131" i="74"/>
  <c r="AA62" i="74"/>
  <c r="Z62" i="74"/>
  <c r="AD122" i="74"/>
  <c r="C21" i="63"/>
  <c r="I495" i="41"/>
  <c r="N3" i="41" s="1"/>
  <c r="C12" i="63"/>
  <c r="T65" i="74"/>
  <c r="Q65" i="74"/>
  <c r="X65" i="74"/>
  <c r="Q132" i="74"/>
  <c r="AF82" i="74"/>
  <c r="AD82" i="74"/>
  <c r="W122" i="66"/>
  <c r="Y122" i="66" s="1"/>
  <c r="V122" i="66"/>
  <c r="R122" i="66"/>
  <c r="S122" i="66" s="1"/>
  <c r="U122" i="66" s="1"/>
  <c r="J481" i="37"/>
  <c r="M116" i="66"/>
  <c r="AD73" i="74"/>
  <c r="AF73" i="74"/>
  <c r="G228" i="66"/>
  <c r="E412" i="38"/>
  <c r="AA73" i="74"/>
  <c r="Z73" i="74"/>
  <c r="AA88" i="66"/>
  <c r="Z232" i="66"/>
  <c r="AA232" i="66"/>
  <c r="Z88" i="66"/>
  <c r="Z82" i="74"/>
  <c r="AA82" i="74"/>
  <c r="D16" i="8"/>
  <c r="N116" i="66"/>
  <c r="O88" i="74"/>
  <c r="AC88" i="74"/>
  <c r="R222" i="66"/>
  <c r="S222" i="66" s="1"/>
  <c r="U222" i="66" s="1"/>
  <c r="V222" i="66"/>
  <c r="W222" i="66"/>
  <c r="Y222" i="66" s="1"/>
  <c r="E406" i="38"/>
  <c r="I497" i="41"/>
  <c r="G84" i="66"/>
  <c r="AF53" i="74"/>
  <c r="AD53" i="74"/>
  <c r="C51" i="63"/>
  <c r="C42" i="63"/>
  <c r="Q218" i="66"/>
  <c r="T218" i="66"/>
  <c r="X218" i="66"/>
  <c r="O218" i="66"/>
  <c r="I496" i="41"/>
  <c r="E407" i="38"/>
  <c r="G85" i="66"/>
  <c r="AA53" i="74"/>
  <c r="Z53" i="74"/>
  <c r="AF67" i="74"/>
  <c r="AD67" i="74"/>
  <c r="E309" i="38"/>
  <c r="E303" i="38"/>
  <c r="H114" i="66"/>
  <c r="J452" i="37"/>
  <c r="E388" i="38"/>
  <c r="AD63" i="74"/>
  <c r="Z67" i="74"/>
  <c r="AA67" i="74"/>
  <c r="M83" i="66"/>
  <c r="I483" i="37"/>
  <c r="T74" i="66"/>
  <c r="X74" i="66"/>
  <c r="Q74" i="66"/>
  <c r="K74" i="74"/>
  <c r="F21" i="39"/>
  <c r="O74" i="66"/>
  <c r="X68" i="74"/>
  <c r="T68" i="74"/>
  <c r="E274" i="38"/>
  <c r="E18" i="34"/>
  <c r="E229" i="38"/>
  <c r="AA63" i="74"/>
  <c r="Z63" i="74"/>
  <c r="C18" i="8"/>
  <c r="N83" i="66"/>
  <c r="N83" i="74" s="1"/>
  <c r="AA87" i="74"/>
  <c r="Z87" i="74"/>
  <c r="Q281" i="66"/>
  <c r="O281" i="66"/>
  <c r="D21" i="34"/>
  <c r="E215" i="38"/>
  <c r="E260" i="38"/>
  <c r="W266" i="66"/>
  <c r="Y266" i="66" s="1"/>
  <c r="V266" i="66"/>
  <c r="R266" i="66"/>
  <c r="S266" i="66" s="1"/>
  <c r="U266" i="66" s="1"/>
  <c r="P275" i="66"/>
  <c r="AF87" i="74"/>
  <c r="AD87" i="74"/>
  <c r="I483" i="58"/>
  <c r="M227" i="66"/>
  <c r="H258" i="66"/>
  <c r="J452" i="58"/>
  <c r="E391" i="38"/>
  <c r="Z131" i="66"/>
  <c r="P131" i="66"/>
  <c r="AA275" i="66"/>
  <c r="AA131" i="66"/>
  <c r="Z275" i="66"/>
  <c r="I456" i="41"/>
  <c r="Q133" i="74"/>
  <c r="AD78" i="74"/>
  <c r="T209" i="66"/>
  <c r="X209" i="66"/>
  <c r="Q209" i="66"/>
  <c r="G229" i="66"/>
  <c r="E413" i="38"/>
  <c r="J482" i="41"/>
  <c r="AC90" i="74"/>
  <c r="AF72" i="74"/>
  <c r="AD72" i="74"/>
  <c r="AF62" i="74"/>
  <c r="AD62" i="74"/>
  <c r="AC132" i="74"/>
  <c r="J481" i="58"/>
  <c r="M260" i="66"/>
  <c r="Z122" i="74"/>
  <c r="AA122" i="74"/>
  <c r="P122" i="74"/>
  <c r="R78" i="66" l="1"/>
  <c r="S78" i="66" s="1"/>
  <c r="U78" i="66" s="1"/>
  <c r="Z90" i="74"/>
  <c r="E302" i="38"/>
  <c r="I481" i="37" s="1"/>
  <c r="P276" i="66"/>
  <c r="Z276" i="66"/>
  <c r="AA276" i="66"/>
  <c r="Z132" i="66"/>
  <c r="AA132" i="66"/>
  <c r="P132" i="66"/>
  <c r="AE132" i="74"/>
  <c r="AG132" i="74"/>
  <c r="AE126" i="74"/>
  <c r="AF126" i="74" s="1"/>
  <c r="D31" i="77" s="1"/>
  <c r="AG126" i="74"/>
  <c r="J31" i="77" s="1"/>
  <c r="L31" i="77" s="1"/>
  <c r="AE131" i="74"/>
  <c r="AG131" i="74"/>
  <c r="AE90" i="74"/>
  <c r="AG90" i="74"/>
  <c r="AE88" i="74"/>
  <c r="AF88" i="74" s="1"/>
  <c r="AG88" i="74"/>
  <c r="Z277" i="66"/>
  <c r="P277" i="66"/>
  <c r="V277" i="66" s="1"/>
  <c r="P133" i="66"/>
  <c r="Z133" i="66"/>
  <c r="AA133" i="66"/>
  <c r="O78" i="74"/>
  <c r="P78" i="74" s="1"/>
  <c r="AE78" i="74"/>
  <c r="AF78" i="74" s="1"/>
  <c r="Q90" i="74"/>
  <c r="T90" i="74"/>
  <c r="P133" i="74"/>
  <c r="W133" i="74" s="1"/>
  <c r="Y133" i="74" s="1"/>
  <c r="Z133" i="74"/>
  <c r="X90" i="74"/>
  <c r="P281" i="66"/>
  <c r="R281" i="66" s="1"/>
  <c r="S281" i="66" s="1"/>
  <c r="U281" i="66" s="1"/>
  <c r="W78" i="66"/>
  <c r="Y78" i="66" s="1"/>
  <c r="Q78" i="74"/>
  <c r="T78" i="74"/>
  <c r="X78" i="74"/>
  <c r="R270" i="66"/>
  <c r="S270" i="66" s="1"/>
  <c r="U270" i="66" s="1"/>
  <c r="W270" i="66"/>
  <c r="Y270" i="66" s="1"/>
  <c r="Z90" i="66"/>
  <c r="P234" i="66"/>
  <c r="Z234" i="66"/>
  <c r="P90" i="66"/>
  <c r="AA234" i="66"/>
  <c r="AA90" i="66"/>
  <c r="AD126" i="74"/>
  <c r="F31" i="77" s="1"/>
  <c r="AA126" i="74"/>
  <c r="Z126" i="74"/>
  <c r="P126" i="74"/>
  <c r="R126" i="66"/>
  <c r="S126" i="66" s="1"/>
  <c r="U126" i="66" s="1"/>
  <c r="V126" i="66"/>
  <c r="W126" i="66"/>
  <c r="Y126" i="66" s="1"/>
  <c r="I487" i="58"/>
  <c r="M229" i="66"/>
  <c r="O229" i="66" s="1"/>
  <c r="V133" i="74"/>
  <c r="H210" i="66"/>
  <c r="I452" i="58"/>
  <c r="E390" i="38"/>
  <c r="AD88" i="74"/>
  <c r="I488" i="58"/>
  <c r="M228" i="66"/>
  <c r="O228" i="66" s="1"/>
  <c r="R131" i="66"/>
  <c r="S131" i="66" s="1"/>
  <c r="U131" i="66" s="1"/>
  <c r="W131" i="66"/>
  <c r="Y131" i="66" s="1"/>
  <c r="V131" i="66"/>
  <c r="G85" i="74"/>
  <c r="Z88" i="74"/>
  <c r="AA88" i="74"/>
  <c r="I452" i="37"/>
  <c r="H66" i="66"/>
  <c r="E387" i="38"/>
  <c r="I487" i="37"/>
  <c r="M85" i="66"/>
  <c r="O85" i="66" s="1"/>
  <c r="G84" i="74"/>
  <c r="N116" i="74"/>
  <c r="G20" i="39"/>
  <c r="I482" i="58"/>
  <c r="M233" i="66"/>
  <c r="J490" i="58"/>
  <c r="G258" i="66" s="1"/>
  <c r="O258" i="66" s="1"/>
  <c r="N257" i="66"/>
  <c r="O257" i="66" s="1"/>
  <c r="J491" i="58"/>
  <c r="G251" i="66" s="1"/>
  <c r="J492" i="58"/>
  <c r="N113" i="66"/>
  <c r="J491" i="37"/>
  <c r="J490" i="37"/>
  <c r="J492" i="37"/>
  <c r="J452" i="41"/>
  <c r="P218" i="66"/>
  <c r="I488" i="37"/>
  <c r="M84" i="66"/>
  <c r="O84" i="66" s="1"/>
  <c r="V90" i="74"/>
  <c r="R90" i="74"/>
  <c r="S90" i="74" s="1"/>
  <c r="U90" i="74" s="1"/>
  <c r="W90" i="74"/>
  <c r="Y90" i="74" s="1"/>
  <c r="H107" i="66"/>
  <c r="J451" i="37"/>
  <c r="H114" i="74"/>
  <c r="M116" i="74"/>
  <c r="O116" i="66"/>
  <c r="Q116" i="66"/>
  <c r="W132" i="74"/>
  <c r="Y132" i="74" s="1"/>
  <c r="V132" i="74"/>
  <c r="R132" i="74"/>
  <c r="S132" i="74" s="1"/>
  <c r="U132" i="74" s="1"/>
  <c r="J451" i="58"/>
  <c r="H251" i="66"/>
  <c r="N68" i="66"/>
  <c r="C16" i="8"/>
  <c r="V78" i="74"/>
  <c r="R78" i="74"/>
  <c r="S78" i="74" s="1"/>
  <c r="M68" i="66"/>
  <c r="I482" i="37"/>
  <c r="M89" i="66"/>
  <c r="J481" i="41"/>
  <c r="P137" i="66"/>
  <c r="AA281" i="66"/>
  <c r="Z281" i="66"/>
  <c r="Z137" i="66"/>
  <c r="AA137" i="66"/>
  <c r="M212" i="66"/>
  <c r="I481" i="58"/>
  <c r="Q227" i="66"/>
  <c r="O227" i="66"/>
  <c r="AD132" i="74"/>
  <c r="AF132" i="74"/>
  <c r="W122" i="74"/>
  <c r="Y122" i="74" s="1"/>
  <c r="R122" i="74"/>
  <c r="S122" i="74" s="1"/>
  <c r="U122" i="74" s="1"/>
  <c r="V122" i="74"/>
  <c r="I483" i="41"/>
  <c r="N89" i="66"/>
  <c r="N89" i="74" s="1"/>
  <c r="C17" i="8"/>
  <c r="E259" i="38"/>
  <c r="E214" i="38"/>
  <c r="D18" i="34"/>
  <c r="AF90" i="74"/>
  <c r="AD90" i="74"/>
  <c r="R275" i="66"/>
  <c r="S275" i="66" s="1"/>
  <c r="U275" i="66" s="1"/>
  <c r="V275" i="66"/>
  <c r="W275" i="66"/>
  <c r="Y275" i="66" s="1"/>
  <c r="Z74" i="66"/>
  <c r="AA74" i="66"/>
  <c r="AA218" i="66"/>
  <c r="Z218" i="66"/>
  <c r="P74" i="66"/>
  <c r="Q83" i="66"/>
  <c r="M83" i="74"/>
  <c r="O83" i="66"/>
  <c r="Q137" i="74"/>
  <c r="AC137" i="74"/>
  <c r="O137" i="74"/>
  <c r="AA131" i="74"/>
  <c r="Z131" i="74"/>
  <c r="P131" i="74"/>
  <c r="O260" i="66"/>
  <c r="Q260" i="66"/>
  <c r="Q74" i="74"/>
  <c r="T74" i="74"/>
  <c r="X74" i="74"/>
  <c r="O74" i="74"/>
  <c r="AC74" i="74"/>
  <c r="D10" i="77"/>
  <c r="D46" i="77"/>
  <c r="AD131" i="74"/>
  <c r="W132" i="66" l="1"/>
  <c r="Y132" i="66" s="1"/>
  <c r="V132" i="66"/>
  <c r="R132" i="66"/>
  <c r="S132" i="66" s="1"/>
  <c r="U132" i="66" s="1"/>
  <c r="V276" i="66"/>
  <c r="R276" i="66"/>
  <c r="S276" i="66" s="1"/>
  <c r="U276" i="66" s="1"/>
  <c r="W276" i="66"/>
  <c r="Y276" i="66" s="1"/>
  <c r="AE74" i="74"/>
  <c r="AG74" i="74"/>
  <c r="AE137" i="74"/>
  <c r="AG137" i="74"/>
  <c r="J28" i="77" s="1"/>
  <c r="L28" i="77" s="1"/>
  <c r="W78" i="74"/>
  <c r="W277" i="66"/>
  <c r="Y277" i="66" s="1"/>
  <c r="R277" i="66"/>
  <c r="S277" i="66" s="1"/>
  <c r="U277" i="66" s="1"/>
  <c r="R133" i="66"/>
  <c r="S133" i="66" s="1"/>
  <c r="U133" i="66" s="1"/>
  <c r="W133" i="66"/>
  <c r="Y133" i="66" s="1"/>
  <c r="V133" i="66"/>
  <c r="Z78" i="74"/>
  <c r="V281" i="66"/>
  <c r="AA78" i="74"/>
  <c r="W281" i="66"/>
  <c r="Y281" i="66" s="1"/>
  <c r="R133" i="74"/>
  <c r="S133" i="74" s="1"/>
  <c r="U133" i="74" s="1"/>
  <c r="U78" i="74"/>
  <c r="Y78" i="74"/>
  <c r="I482" i="41"/>
  <c r="P260" i="66"/>
  <c r="R260" i="66" s="1"/>
  <c r="S260" i="66" s="1"/>
  <c r="U260" i="66" s="1"/>
  <c r="W90" i="66"/>
  <c r="Y90" i="66" s="1"/>
  <c r="R90" i="66"/>
  <c r="S90" i="66" s="1"/>
  <c r="U90" i="66" s="1"/>
  <c r="V90" i="66"/>
  <c r="V234" i="66"/>
  <c r="W234" i="66"/>
  <c r="Y234" i="66" s="1"/>
  <c r="R234" i="66"/>
  <c r="S234" i="66" s="1"/>
  <c r="U234" i="66" s="1"/>
  <c r="W126" i="74"/>
  <c r="Y126" i="74" s="1"/>
  <c r="R126" i="74"/>
  <c r="S126" i="74" s="1"/>
  <c r="U126" i="74" s="1"/>
  <c r="V126" i="74"/>
  <c r="I488" i="41"/>
  <c r="I487" i="41"/>
  <c r="O251" i="66"/>
  <c r="AF131" i="74"/>
  <c r="H66" i="74"/>
  <c r="P227" i="66"/>
  <c r="W227" i="66" s="1"/>
  <c r="Y227" i="66" s="1"/>
  <c r="I481" i="41"/>
  <c r="P229" i="66"/>
  <c r="R229" i="66" s="1"/>
  <c r="S229" i="66" s="1"/>
  <c r="U229" i="66" s="1"/>
  <c r="P228" i="66"/>
  <c r="R228" i="66" s="1"/>
  <c r="S228" i="66" s="1"/>
  <c r="U228" i="66" s="1"/>
  <c r="AA84" i="66"/>
  <c r="AA228" i="66"/>
  <c r="Z84" i="66"/>
  <c r="Z228" i="66"/>
  <c r="P84" i="66"/>
  <c r="AA85" i="66"/>
  <c r="P85" i="66"/>
  <c r="Z85" i="66"/>
  <c r="AA229" i="66"/>
  <c r="Z229" i="66"/>
  <c r="H59" i="66"/>
  <c r="I451" i="37"/>
  <c r="V218" i="66"/>
  <c r="R218" i="66"/>
  <c r="S218" i="66" s="1"/>
  <c r="U218" i="66" s="1"/>
  <c r="W218" i="66"/>
  <c r="Y218" i="66" s="1"/>
  <c r="Q89" i="66"/>
  <c r="M89" i="74"/>
  <c r="O89" i="66"/>
  <c r="H203" i="66"/>
  <c r="I451" i="58"/>
  <c r="M68" i="74"/>
  <c r="Q68" i="66"/>
  <c r="O68" i="66"/>
  <c r="Q233" i="66"/>
  <c r="O233" i="66"/>
  <c r="Z116" i="66"/>
  <c r="AA260" i="66"/>
  <c r="Z260" i="66"/>
  <c r="AA116" i="66"/>
  <c r="P116" i="66"/>
  <c r="I491" i="58"/>
  <c r="G203" i="66" s="1"/>
  <c r="O203" i="66" s="1"/>
  <c r="N209" i="66"/>
  <c r="O209" i="66" s="1"/>
  <c r="I490" i="58"/>
  <c r="G210" i="66" s="1"/>
  <c r="O210" i="66" s="1"/>
  <c r="I492" i="58"/>
  <c r="O212" i="66"/>
  <c r="Q212" i="66"/>
  <c r="Q116" i="74"/>
  <c r="O116" i="74"/>
  <c r="AC116" i="74"/>
  <c r="AD74" i="74"/>
  <c r="AF74" i="74"/>
  <c r="AA137" i="74"/>
  <c r="Z137" i="74"/>
  <c r="P137" i="74"/>
  <c r="AA74" i="74"/>
  <c r="Z74" i="74"/>
  <c r="P74" i="74"/>
  <c r="J451" i="41"/>
  <c r="E44" i="39"/>
  <c r="J492" i="41"/>
  <c r="E17" i="39" s="1"/>
  <c r="G105" i="66"/>
  <c r="D47" i="77"/>
  <c r="AD137" i="74"/>
  <c r="F28" i="77" s="1"/>
  <c r="D11" i="77"/>
  <c r="N68" i="74"/>
  <c r="F20" i="39"/>
  <c r="H107" i="74"/>
  <c r="J490" i="41"/>
  <c r="G114" i="66"/>
  <c r="J491" i="41"/>
  <c r="G107" i="66"/>
  <c r="M85" i="74"/>
  <c r="AC85" i="74" s="1"/>
  <c r="Q85" i="66"/>
  <c r="R74" i="66"/>
  <c r="S74" i="66" s="1"/>
  <c r="U74" i="66" s="1"/>
  <c r="V74" i="66"/>
  <c r="W74" i="66"/>
  <c r="Y74" i="66" s="1"/>
  <c r="W131" i="74"/>
  <c r="Y131" i="74" s="1"/>
  <c r="V131" i="74"/>
  <c r="R131" i="74"/>
  <c r="S131" i="74" s="1"/>
  <c r="U131" i="74" s="1"/>
  <c r="P83" i="66"/>
  <c r="Z227" i="66"/>
  <c r="AA227" i="66"/>
  <c r="Z83" i="66"/>
  <c r="AA83" i="66"/>
  <c r="W137" i="66"/>
  <c r="Y137" i="66" s="1"/>
  <c r="R137" i="66"/>
  <c r="S137" i="66" s="1"/>
  <c r="U137" i="66" s="1"/>
  <c r="V137" i="66"/>
  <c r="N113" i="74"/>
  <c r="G22" i="39"/>
  <c r="O113" i="66"/>
  <c r="P257" i="66" s="1"/>
  <c r="N65" i="66"/>
  <c r="I491" i="37"/>
  <c r="I490" i="37"/>
  <c r="I492" i="37"/>
  <c r="Q228" i="66"/>
  <c r="W228" i="66" s="1"/>
  <c r="Y228" i="66" s="1"/>
  <c r="Q83" i="74"/>
  <c r="O83" i="74"/>
  <c r="AC83" i="74"/>
  <c r="Q84" i="66"/>
  <c r="M84" i="74"/>
  <c r="AC84" i="74" s="1"/>
  <c r="Q229" i="66"/>
  <c r="G249" i="66"/>
  <c r="M44" i="39"/>
  <c r="W229" i="66" l="1"/>
  <c r="Y229" i="66" s="1"/>
  <c r="AE84" i="74"/>
  <c r="AF84" i="74" s="1"/>
  <c r="AG84" i="74"/>
  <c r="AE83" i="74"/>
  <c r="AG83" i="74"/>
  <c r="AE116" i="74"/>
  <c r="D44" i="77" s="1"/>
  <c r="AG116" i="74"/>
  <c r="AE85" i="74"/>
  <c r="AF85" i="74" s="1"/>
  <c r="AG85" i="74"/>
  <c r="V227" i="66"/>
  <c r="R227" i="66"/>
  <c r="S227" i="66" s="1"/>
  <c r="U227" i="66" s="1"/>
  <c r="V260" i="66"/>
  <c r="W260" i="66"/>
  <c r="Y260" i="66" s="1"/>
  <c r="P233" i="66"/>
  <c r="V233" i="66" s="1"/>
  <c r="H59" i="74"/>
  <c r="P212" i="66"/>
  <c r="V212" i="66" s="1"/>
  <c r="V228" i="66"/>
  <c r="V229" i="66"/>
  <c r="AF137" i="74"/>
  <c r="D28" i="77" s="1"/>
  <c r="AD85" i="74"/>
  <c r="O107" i="66"/>
  <c r="G107" i="74"/>
  <c r="Q89" i="74"/>
  <c r="AC89" i="74"/>
  <c r="O89" i="74"/>
  <c r="M56" i="39"/>
  <c r="M58" i="39" s="1"/>
  <c r="M59" i="39"/>
  <c r="M60" i="39" s="1"/>
  <c r="E178" i="38"/>
  <c r="I490" i="41"/>
  <c r="G66" i="66"/>
  <c r="W137" i="74"/>
  <c r="Y137" i="74" s="1"/>
  <c r="V137" i="74"/>
  <c r="R137" i="74"/>
  <c r="S137" i="74" s="1"/>
  <c r="U137" i="74" s="1"/>
  <c r="R257" i="66"/>
  <c r="S257" i="66" s="1"/>
  <c r="U257" i="66" s="1"/>
  <c r="V257" i="66"/>
  <c r="W257" i="66"/>
  <c r="Y257" i="66" s="1"/>
  <c r="W85" i="66"/>
  <c r="Y85" i="66" s="1"/>
  <c r="R85" i="66"/>
  <c r="S85" i="66" s="1"/>
  <c r="U85" i="66" s="1"/>
  <c r="V85" i="66"/>
  <c r="AC113" i="74"/>
  <c r="O113" i="74"/>
  <c r="AD84" i="74"/>
  <c r="I491" i="41"/>
  <c r="G59" i="66"/>
  <c r="N65" i="74"/>
  <c r="O65" i="66"/>
  <c r="P209" i="66" s="1"/>
  <c r="F22" i="39"/>
  <c r="O114" i="66"/>
  <c r="G114" i="74"/>
  <c r="G57" i="66"/>
  <c r="D44" i="39"/>
  <c r="I492" i="41"/>
  <c r="D17" i="39" s="1"/>
  <c r="V83" i="66"/>
  <c r="R83" i="66"/>
  <c r="S83" i="66" s="1"/>
  <c r="U83" i="66" s="1"/>
  <c r="W83" i="66"/>
  <c r="Y83" i="66" s="1"/>
  <c r="Q84" i="74"/>
  <c r="P113" i="66"/>
  <c r="Z257" i="66"/>
  <c r="AA257" i="66"/>
  <c r="AA113" i="66"/>
  <c r="Z113" i="66"/>
  <c r="O85" i="74"/>
  <c r="V84" i="66"/>
  <c r="W84" i="66"/>
  <c r="Y84" i="66" s="1"/>
  <c r="R84" i="66"/>
  <c r="S84" i="66" s="1"/>
  <c r="U84" i="66" s="1"/>
  <c r="O84" i="74"/>
  <c r="G201" i="66"/>
  <c r="L44" i="39"/>
  <c r="P68" i="66"/>
  <c r="Z68" i="66"/>
  <c r="AA68" i="66"/>
  <c r="AA212" i="66"/>
  <c r="Z212" i="66"/>
  <c r="E29" i="39"/>
  <c r="E30" i="39" s="1"/>
  <c r="E32" i="39"/>
  <c r="E33" i="39" s="1"/>
  <c r="D8" i="77"/>
  <c r="AD116" i="74"/>
  <c r="AD83" i="74"/>
  <c r="E59" i="39"/>
  <c r="E60" i="39" s="1"/>
  <c r="E56" i="39"/>
  <c r="E58" i="39" s="1"/>
  <c r="E127" i="38"/>
  <c r="AA116" i="74"/>
  <c r="Z116" i="74"/>
  <c r="P116" i="74"/>
  <c r="Q68" i="74"/>
  <c r="AC68" i="74"/>
  <c r="O68" i="74"/>
  <c r="V116" i="66"/>
  <c r="R116" i="66"/>
  <c r="S116" i="66" s="1"/>
  <c r="U116" i="66" s="1"/>
  <c r="W116" i="66"/>
  <c r="Y116" i="66" s="1"/>
  <c r="V74" i="74"/>
  <c r="W74" i="74"/>
  <c r="Y74" i="74" s="1"/>
  <c r="R74" i="74"/>
  <c r="S74" i="74" s="1"/>
  <c r="U74" i="74" s="1"/>
  <c r="G105" i="74"/>
  <c r="P83" i="74"/>
  <c r="AA83" i="74"/>
  <c r="Z83" i="74"/>
  <c r="Q85" i="74"/>
  <c r="AA233" i="66"/>
  <c r="P89" i="66"/>
  <c r="AA89" i="66"/>
  <c r="Z89" i="66"/>
  <c r="Z233" i="66"/>
  <c r="AE89" i="74" l="1"/>
  <c r="AG89" i="74"/>
  <c r="AE68" i="74"/>
  <c r="AG68" i="74"/>
  <c r="AE113" i="74"/>
  <c r="D43" i="77" s="1"/>
  <c r="AG113" i="74"/>
  <c r="J26" i="77" s="1"/>
  <c r="L26" i="77" s="1"/>
  <c r="W233" i="66"/>
  <c r="Y233" i="66" s="1"/>
  <c r="R233" i="66"/>
  <c r="S233" i="66" s="1"/>
  <c r="U233" i="66" s="1"/>
  <c r="E57" i="39"/>
  <c r="R212" i="66"/>
  <c r="S212" i="66" s="1"/>
  <c r="U212" i="66" s="1"/>
  <c r="W212" i="66"/>
  <c r="Y212" i="66" s="1"/>
  <c r="L17" i="39"/>
  <c r="AF116" i="74"/>
  <c r="W113" i="66"/>
  <c r="Y113" i="66" s="1"/>
  <c r="V113" i="66"/>
  <c r="R113" i="66"/>
  <c r="S113" i="66" s="1"/>
  <c r="U113" i="66" s="1"/>
  <c r="R89" i="66"/>
  <c r="S89" i="66" s="1"/>
  <c r="U89" i="66" s="1"/>
  <c r="W89" i="66"/>
  <c r="Y89" i="66" s="1"/>
  <c r="V89" i="66"/>
  <c r="M57" i="39"/>
  <c r="V83" i="74"/>
  <c r="R83" i="74"/>
  <c r="S83" i="74" s="1"/>
  <c r="U83" i="74" s="1"/>
  <c r="W83" i="74"/>
  <c r="Y83" i="74" s="1"/>
  <c r="W68" i="66"/>
  <c r="Y68" i="66" s="1"/>
  <c r="V68" i="66"/>
  <c r="R68" i="66"/>
  <c r="S68" i="66" s="1"/>
  <c r="U68" i="66" s="1"/>
  <c r="D32" i="39"/>
  <c r="D33" i="39" s="1"/>
  <c r="D29" i="39"/>
  <c r="D30" i="39" s="1"/>
  <c r="P89" i="74"/>
  <c r="Z89" i="74"/>
  <c r="AA89" i="74"/>
  <c r="AF83" i="74"/>
  <c r="L12" i="39"/>
  <c r="AC6" i="39"/>
  <c r="L24" i="39"/>
  <c r="L15" i="39"/>
  <c r="L18" i="39"/>
  <c r="E31" i="39"/>
  <c r="AC5" i="39"/>
  <c r="L26" i="39"/>
  <c r="L28" i="39"/>
  <c r="L25" i="39"/>
  <c r="L22" i="39"/>
  <c r="L20" i="39"/>
  <c r="L27" i="39"/>
  <c r="L14" i="39"/>
  <c r="L23" i="39"/>
  <c r="L16" i="39"/>
  <c r="L13" i="39"/>
  <c r="L19" i="39"/>
  <c r="L21" i="39"/>
  <c r="AA85" i="74"/>
  <c r="Z85" i="74"/>
  <c r="P85" i="74"/>
  <c r="D59" i="39"/>
  <c r="D60" i="39" s="1"/>
  <c r="D56" i="39"/>
  <c r="D58" i="39" s="1"/>
  <c r="E110" i="38"/>
  <c r="AA113" i="74"/>
  <c r="Z113" i="74"/>
  <c r="P113" i="74"/>
  <c r="AD89" i="74"/>
  <c r="G57" i="74"/>
  <c r="AD113" i="74"/>
  <c r="D7" i="77"/>
  <c r="P68" i="74"/>
  <c r="AA68" i="74"/>
  <c r="Z68" i="74"/>
  <c r="AD68" i="74"/>
  <c r="AC114" i="74"/>
  <c r="O114" i="74"/>
  <c r="AA114" i="66"/>
  <c r="Z258" i="66"/>
  <c r="AA258" i="66"/>
  <c r="Z114" i="66"/>
  <c r="AC107" i="74"/>
  <c r="AG107" i="74" s="1"/>
  <c r="O107" i="74"/>
  <c r="Z251" i="66"/>
  <c r="AA107" i="66"/>
  <c r="AA251" i="66"/>
  <c r="Z107" i="66"/>
  <c r="W116" i="74"/>
  <c r="Y116" i="74" s="1"/>
  <c r="R116" i="74"/>
  <c r="S116" i="74" s="1"/>
  <c r="U116" i="74" s="1"/>
  <c r="V116" i="74"/>
  <c r="AA209" i="66"/>
  <c r="Z65" i="66"/>
  <c r="P65" i="66"/>
  <c r="AA65" i="66"/>
  <c r="Z209" i="66"/>
  <c r="G66" i="74"/>
  <c r="O66" i="66"/>
  <c r="V209" i="66"/>
  <c r="R209" i="66"/>
  <c r="S209" i="66" s="1"/>
  <c r="U209" i="66" s="1"/>
  <c r="W209" i="66"/>
  <c r="Y209" i="66" s="1"/>
  <c r="L56" i="39"/>
  <c r="L58" i="39" s="1"/>
  <c r="L59" i="39"/>
  <c r="L60" i="39" s="1"/>
  <c r="E161" i="38"/>
  <c r="O65" i="74"/>
  <c r="AC65" i="74"/>
  <c r="O59" i="66"/>
  <c r="G59" i="74"/>
  <c r="K249" i="66"/>
  <c r="J471" i="58"/>
  <c r="J474" i="58"/>
  <c r="K105" i="66"/>
  <c r="J471" i="37"/>
  <c r="J489" i="37" s="1"/>
  <c r="J474" i="37"/>
  <c r="AA84" i="74"/>
  <c r="Z84" i="74"/>
  <c r="P84" i="74"/>
  <c r="AE114" i="74" l="1"/>
  <c r="AF114" i="74" s="1"/>
  <c r="AG114" i="74"/>
  <c r="AE65" i="74"/>
  <c r="AE107" i="74"/>
  <c r="D42" i="77" s="1"/>
  <c r="D6" i="77"/>
  <c r="F26" i="77"/>
  <c r="F35" i="77" s="1"/>
  <c r="G247" i="66"/>
  <c r="M247" i="66" s="1"/>
  <c r="Q247" i="66" s="1"/>
  <c r="J489" i="58"/>
  <c r="J489" i="41" s="1"/>
  <c r="AF68" i="74"/>
  <c r="L57" i="39"/>
  <c r="AF113" i="74"/>
  <c r="X105" i="66"/>
  <c r="K105" i="74"/>
  <c r="T105" i="66"/>
  <c r="Q105" i="66"/>
  <c r="G17" i="39"/>
  <c r="O105" i="66"/>
  <c r="AD114" i="74"/>
  <c r="I474" i="37"/>
  <c r="K57" i="66"/>
  <c r="I471" i="37"/>
  <c r="J479" i="58"/>
  <c r="G248" i="66"/>
  <c r="D57" i="39"/>
  <c r="L29" i="39"/>
  <c r="T249" i="66"/>
  <c r="X249" i="66"/>
  <c r="Q249" i="66"/>
  <c r="O249" i="66"/>
  <c r="Z66" i="66"/>
  <c r="Z210" i="66"/>
  <c r="AA210" i="66"/>
  <c r="AA66" i="66"/>
  <c r="AC59" i="74"/>
  <c r="O59" i="74"/>
  <c r="R85" i="74"/>
  <c r="S85" i="74" s="1"/>
  <c r="U85" i="74" s="1"/>
  <c r="V85" i="74"/>
  <c r="W85" i="74"/>
  <c r="Y85" i="74" s="1"/>
  <c r="O66" i="74"/>
  <c r="AC66" i="74"/>
  <c r="Z203" i="66"/>
  <c r="AA59" i="66"/>
  <c r="AA203" i="66"/>
  <c r="Z59" i="66"/>
  <c r="Z107" i="74"/>
  <c r="AA107" i="74"/>
  <c r="R89" i="74"/>
  <c r="S89" i="74" s="1"/>
  <c r="U89" i="74" s="1"/>
  <c r="V89" i="74"/>
  <c r="W89" i="74"/>
  <c r="Y89" i="74" s="1"/>
  <c r="AD107" i="74"/>
  <c r="K16" i="39"/>
  <c r="D31" i="39"/>
  <c r="K12" i="39"/>
  <c r="K13" i="39"/>
  <c r="K22" i="39"/>
  <c r="K27" i="39"/>
  <c r="K25" i="39"/>
  <c r="K21" i="39"/>
  <c r="K24" i="39"/>
  <c r="K20" i="39"/>
  <c r="K23" i="39"/>
  <c r="AB6" i="39"/>
  <c r="K15" i="39"/>
  <c r="K18" i="39"/>
  <c r="K14" i="39"/>
  <c r="AB5" i="39"/>
  <c r="K26" i="39"/>
  <c r="K28" i="39"/>
  <c r="K19" i="39"/>
  <c r="R65" i="66"/>
  <c r="S65" i="66" s="1"/>
  <c r="U65" i="66" s="1"/>
  <c r="V65" i="66"/>
  <c r="W65" i="66"/>
  <c r="Y65" i="66" s="1"/>
  <c r="R68" i="74"/>
  <c r="S68" i="74" s="1"/>
  <c r="U68" i="74" s="1"/>
  <c r="V68" i="74"/>
  <c r="W68" i="74"/>
  <c r="Y68" i="74" s="1"/>
  <c r="AD65" i="74"/>
  <c r="AG65" i="74" s="1"/>
  <c r="V84" i="74"/>
  <c r="R84" i="74"/>
  <c r="S84" i="74" s="1"/>
  <c r="U84" i="74" s="1"/>
  <c r="W84" i="74"/>
  <c r="Y84" i="74" s="1"/>
  <c r="Z65" i="74"/>
  <c r="AA65" i="74"/>
  <c r="P65" i="74"/>
  <c r="AF89" i="74"/>
  <c r="K17" i="39"/>
  <c r="I471" i="58"/>
  <c r="K201" i="66"/>
  <c r="I474" i="58"/>
  <c r="V113" i="74"/>
  <c r="R113" i="74"/>
  <c r="S113" i="74" s="1"/>
  <c r="U113" i="74" s="1"/>
  <c r="W113" i="74"/>
  <c r="Y113" i="74" s="1"/>
  <c r="J474" i="41"/>
  <c r="J479" i="37"/>
  <c r="G104" i="66"/>
  <c r="J471" i="41"/>
  <c r="G103" i="66"/>
  <c r="Z114" i="74"/>
  <c r="AA114" i="74"/>
  <c r="AE59" i="74" l="1"/>
  <c r="AG59" i="74"/>
  <c r="AE66" i="74"/>
  <c r="AF66" i="74" s="1"/>
  <c r="AG66" i="74"/>
  <c r="AF107" i="74"/>
  <c r="D26" i="77"/>
  <c r="D35" i="77" s="1"/>
  <c r="P249" i="66"/>
  <c r="V249" i="66" s="1"/>
  <c r="I489" i="58"/>
  <c r="G199" i="66"/>
  <c r="M103" i="66"/>
  <c r="G103" i="74"/>
  <c r="I479" i="37"/>
  <c r="I474" i="41"/>
  <c r="G56" i="66"/>
  <c r="O247" i="66"/>
  <c r="W65" i="74"/>
  <c r="Y65" i="74" s="1"/>
  <c r="R65" i="74"/>
  <c r="S65" i="74" s="1"/>
  <c r="U65" i="74" s="1"/>
  <c r="V65" i="74"/>
  <c r="Z66" i="74"/>
  <c r="AA66" i="74"/>
  <c r="X201" i="66"/>
  <c r="Q201" i="66"/>
  <c r="T201" i="66"/>
  <c r="O201" i="66"/>
  <c r="G104" i="74"/>
  <c r="E366" i="38"/>
  <c r="L104" i="66" s="1"/>
  <c r="J479" i="41"/>
  <c r="J480" i="37"/>
  <c r="P105" i="66"/>
  <c r="Z249" i="66"/>
  <c r="AA105" i="66"/>
  <c r="Z105" i="66"/>
  <c r="AA249" i="66"/>
  <c r="AF65" i="74"/>
  <c r="AA59" i="74"/>
  <c r="Z59" i="74"/>
  <c r="AD59" i="74"/>
  <c r="AF59" i="74"/>
  <c r="G200" i="66"/>
  <c r="I479" i="58"/>
  <c r="T105" i="74"/>
  <c r="Q105" i="74"/>
  <c r="X105" i="74"/>
  <c r="O105" i="74"/>
  <c r="AC105" i="74"/>
  <c r="K29" i="39"/>
  <c r="E384" i="38"/>
  <c r="L248" i="66" s="1"/>
  <c r="O248" i="66" s="1"/>
  <c r="J480" i="58"/>
  <c r="E385" i="38" s="1"/>
  <c r="L267" i="66" s="1"/>
  <c r="O267" i="66" s="1"/>
  <c r="I471" i="41"/>
  <c r="I489" i="37"/>
  <c r="G55" i="66"/>
  <c r="T57" i="66"/>
  <c r="Q57" i="66"/>
  <c r="X57" i="66"/>
  <c r="K57" i="74"/>
  <c r="F17" i="39"/>
  <c r="O57" i="66"/>
  <c r="AD66" i="74"/>
  <c r="AE105" i="74" l="1"/>
  <c r="AG105" i="74"/>
  <c r="I489" i="41"/>
  <c r="L104" i="74"/>
  <c r="O104" i="74" s="1"/>
  <c r="R249" i="66"/>
  <c r="S249" i="66" s="1"/>
  <c r="U249" i="66" s="1"/>
  <c r="W249" i="66"/>
  <c r="Y249" i="66" s="1"/>
  <c r="J480" i="41"/>
  <c r="E367" i="38"/>
  <c r="L123" i="66" s="1"/>
  <c r="P57" i="66"/>
  <c r="AA201" i="66"/>
  <c r="AA57" i="66"/>
  <c r="Z201" i="66"/>
  <c r="Z57" i="66"/>
  <c r="O104" i="66"/>
  <c r="G55" i="74"/>
  <c r="M55" i="66"/>
  <c r="O55" i="66" s="1"/>
  <c r="G56" i="74"/>
  <c r="E378" i="38"/>
  <c r="L200" i="66" s="1"/>
  <c r="O200" i="66" s="1"/>
  <c r="I480" i="58"/>
  <c r="E379" i="38" s="1"/>
  <c r="L219" i="66" s="1"/>
  <c r="O219" i="66" s="1"/>
  <c r="T57" i="74"/>
  <c r="X57" i="74"/>
  <c r="Q57" i="74"/>
  <c r="AC57" i="74"/>
  <c r="O57" i="74"/>
  <c r="Z105" i="74"/>
  <c r="AA105" i="74"/>
  <c r="P105" i="74"/>
  <c r="P201" i="66"/>
  <c r="D4" i="77"/>
  <c r="D12" i="77" s="1"/>
  <c r="D40" i="77"/>
  <c r="D48" i="77" s="1"/>
  <c r="AD105" i="74"/>
  <c r="E360" i="38"/>
  <c r="L56" i="66" s="1"/>
  <c r="I479" i="41"/>
  <c r="I480" i="37"/>
  <c r="M103" i="74"/>
  <c r="Q103" i="74" s="1"/>
  <c r="Q103" i="66"/>
  <c r="O103" i="66"/>
  <c r="P247" i="66" s="1"/>
  <c r="M199" i="66"/>
  <c r="Q199" i="66" s="1"/>
  <c r="W105" i="66"/>
  <c r="Y105" i="66" s="1"/>
  <c r="R105" i="66"/>
  <c r="S105" i="66" s="1"/>
  <c r="U105" i="66" s="1"/>
  <c r="V105" i="66"/>
  <c r="AE57" i="74" l="1"/>
  <c r="AG57" i="74"/>
  <c r="AC104" i="74"/>
  <c r="L56" i="74"/>
  <c r="O56" i="74" s="1"/>
  <c r="AF105" i="74"/>
  <c r="W247" i="66"/>
  <c r="Y247" i="66" s="1"/>
  <c r="R247" i="66"/>
  <c r="V247" i="66"/>
  <c r="I480" i="41"/>
  <c r="E361" i="38"/>
  <c r="L75" i="66" s="1"/>
  <c r="AD57" i="74"/>
  <c r="R201" i="66"/>
  <c r="S201" i="66" s="1"/>
  <c r="U201" i="66" s="1"/>
  <c r="V201" i="66"/>
  <c r="W201" i="66"/>
  <c r="Y201" i="66" s="1"/>
  <c r="Z104" i="66"/>
  <c r="AA104" i="66"/>
  <c r="Z248" i="66"/>
  <c r="AA248" i="66"/>
  <c r="O199" i="66"/>
  <c r="P199" i="66" s="1"/>
  <c r="Z104" i="74"/>
  <c r="AA104" i="74"/>
  <c r="W57" i="66"/>
  <c r="Y57" i="66" s="1"/>
  <c r="V57" i="66"/>
  <c r="R57" i="66"/>
  <c r="S57" i="66" s="1"/>
  <c r="U57" i="66" s="1"/>
  <c r="O123" i="66"/>
  <c r="L123" i="74"/>
  <c r="O56" i="66"/>
  <c r="O103" i="74"/>
  <c r="Z103" i="66"/>
  <c r="AA247" i="66"/>
  <c r="P103" i="66"/>
  <c r="Z247" i="66"/>
  <c r="AA103" i="66"/>
  <c r="V105" i="74"/>
  <c r="W105" i="74"/>
  <c r="Y105" i="74" s="1"/>
  <c r="R105" i="74"/>
  <c r="S105" i="74" s="1"/>
  <c r="U105" i="74" s="1"/>
  <c r="AC103" i="74"/>
  <c r="Z57" i="74"/>
  <c r="P57" i="74"/>
  <c r="AA57" i="74"/>
  <c r="M55" i="74"/>
  <c r="Q55" i="74" s="1"/>
  <c r="Q55" i="66"/>
  <c r="AE103" i="74" l="1"/>
  <c r="AF103" i="74" s="1"/>
  <c r="AG103" i="74"/>
  <c r="AE104" i="74"/>
  <c r="AF104" i="74" s="1"/>
  <c r="AG104" i="74"/>
  <c r="AD104" i="74"/>
  <c r="Z199" i="66"/>
  <c r="AA55" i="66"/>
  <c r="AC56" i="74"/>
  <c r="P55" i="66"/>
  <c r="W55" i="66" s="1"/>
  <c r="Y55" i="66" s="1"/>
  <c r="Z55" i="66"/>
  <c r="W199" i="66"/>
  <c r="Y199" i="66" s="1"/>
  <c r="V199" i="66"/>
  <c r="R199" i="66"/>
  <c r="AA123" i="66"/>
  <c r="Z267" i="66"/>
  <c r="AA267" i="66"/>
  <c r="Z123" i="66"/>
  <c r="R57" i="74"/>
  <c r="S57" i="74" s="1"/>
  <c r="U57" i="74" s="1"/>
  <c r="W57" i="74"/>
  <c r="Y57" i="74" s="1"/>
  <c r="V57" i="74"/>
  <c r="AD103" i="74"/>
  <c r="O75" i="66"/>
  <c r="L75" i="74"/>
  <c r="Z56" i="74"/>
  <c r="AA56" i="74"/>
  <c r="P103" i="74"/>
  <c r="AA103" i="74"/>
  <c r="Z103" i="74"/>
  <c r="Z56" i="66"/>
  <c r="Z200" i="66"/>
  <c r="AA56" i="66"/>
  <c r="AA200" i="66"/>
  <c r="AC123" i="74"/>
  <c r="O123" i="74"/>
  <c r="AA199" i="66"/>
  <c r="O55" i="74"/>
  <c r="W103" i="66"/>
  <c r="Y103" i="66" s="1"/>
  <c r="V103" i="66"/>
  <c r="R103" i="66"/>
  <c r="AC55" i="74"/>
  <c r="AF57" i="74"/>
  <c r="AE56" i="74" l="1"/>
  <c r="AF56" i="74" s="1"/>
  <c r="AG56" i="74"/>
  <c r="AE123" i="74"/>
  <c r="AF123" i="74" s="1"/>
  <c r="AE55" i="74"/>
  <c r="AF55" i="74" s="1"/>
  <c r="AG55" i="74"/>
  <c r="AD56" i="74"/>
  <c r="V55" i="66"/>
  <c r="R55" i="66"/>
  <c r="O75" i="74"/>
  <c r="AC75" i="74"/>
  <c r="AD55" i="74"/>
  <c r="AA55" i="74"/>
  <c r="Z55" i="74"/>
  <c r="P55" i="74"/>
  <c r="Z123" i="74"/>
  <c r="AA123" i="74"/>
  <c r="AD123" i="74"/>
  <c r="AG123" i="74" s="1"/>
  <c r="W103" i="74"/>
  <c r="Y103" i="74" s="1"/>
  <c r="V103" i="74"/>
  <c r="R103" i="74"/>
  <c r="AA219" i="66"/>
  <c r="Z75" i="66"/>
  <c r="Z219" i="66"/>
  <c r="AA75" i="66"/>
  <c r="AE75" i="74" l="1"/>
  <c r="AF75" i="74" s="1"/>
  <c r="AD75" i="74"/>
  <c r="AG75" i="74" s="1"/>
  <c r="Z75" i="74"/>
  <c r="AA75" i="74"/>
  <c r="W55" i="74"/>
  <c r="Y55" i="74" s="1"/>
  <c r="R55" i="74"/>
  <c r="V55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<sst xmlns="http://schemas.openxmlformats.org/spreadsheetml/2006/main" count="5055" uniqueCount="414">
  <si>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</si>
  <si>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</si>
  <si>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</si>
  <si>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</si>
  <si>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</si>
  <si>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</si>
  <si>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</si>
  <si>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</si>
  <si>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</si>
  <si>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</si>
  <si>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</si>
  <si>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</si>
  <si>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</si>
  <si>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</si>
  <si>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</si>
  <si>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</si>
  <si>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</si>
  <si>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</si>
  <si>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</si>
  <si>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</si>
  <si>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</si>
  <si>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</si>
  <si>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</si>
  <si>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</si>
  <si>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</si>
  <si>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</si>
  <si>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</si>
  <si>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</si>
  <si>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</si>
  <si>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</si>
  <si>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</si>
  <si>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</si>
  <si>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</si>
  <si>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</si>
  <si>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</si>
  <si>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</si>
  <si>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</si>
  <si>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</si>
  <si>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</si>
  <si>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</si>
  <si>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</si>
  <si>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</si>
  <si>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</si>
  <si>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</si>
  <si>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</si>
  <si>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</si>
  <si>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</si>
  <si>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</si>
  <si>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</si>
  <si>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</si>
  <si>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</si>
  <si>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</si>
  <si>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</si>
  <si>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</si>
  <si>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</si>
  <si>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</si>
  <si>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</si>
  <si>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</si>
  <si>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</si>
  <si>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</si>
  <si>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</si>
  <si>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</si>
  <si>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</si>
  <si>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</si>
  <si>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</si>
  <si>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</si>
  <si>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</si>
  <si>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</si>
  <si>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</si>
  <si>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</si>
  <si>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</si>
  <si>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</si>
  <si>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</si>
  <si>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</si>
  <si>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</si>
  <si>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</si>
  <si>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</si>
  <si>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</si>
  <si>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</si>
  <si>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</si>
  <si>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</si>
  <si>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</si>
  <si>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</si>
  <si>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</si>
  <si>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</si>
  <si>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</si>
  <si>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</si>
  <si>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</si>
  <si>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</si>
  <si>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</si>
  <si>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</si>
  <si>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</si>
  <si>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</si>
  <si>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</si>
  <si>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</si>
  <si>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</si>
  <si>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</si>
  <si>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</si>
  <si>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</si>
  <si>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</si>
  <si>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</si>
  <si>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</si>
  <si>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</si>
  <si>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</si>
  <si>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</si>
  <si>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</si>
  <si>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</si>
  <si>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</si>
  <si>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</si>
  <si>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</si>
  <si>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</si>
  <si>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</si>
  <si>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</si>
  <si>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</si>
  <si>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</si>
  <si>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</si>
  <si>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</si>
  <si>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</si>
  <si>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</si>
  <si>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</si>
  <si>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</si>
  <si>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</si>
  <si>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</si>
  <si>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</si>
  <si>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</si>
  <si>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</si>
  <si>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</si>
  <si>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</si>
  <si>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</si>
  <si>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</si>
  <si>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</si>
  <si>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</si>
  <si>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</si>
  <si>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</si>
  <si>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</si>
  <si>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</si>
  <si>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</si>
  <si>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</si>
  <si>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</si>
  <si>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</si>
  <si>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</si>
  <si>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</si>
  <si>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</si>
  <si>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</si>
  <si>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</si>
  <si>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</si>
  <si>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</si>
  <si>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</si>
  <si>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</si>
  <si>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</si>
  <si>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</si>
  <si>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</si>
  <si>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</si>
  <si>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</si>
  <si>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</si>
  <si>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</si>
  <si>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</si>
  <si>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</si>
  <si>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</si>
  <si>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</si>
  <si>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</si>
  <si>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</si>
  <si>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</si>
  <si>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</si>
  <si>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</si>
  <si>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</si>
  <si>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</si>
  <si>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</si>
  <si>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</si>
  <si>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</si>
  <si>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</si>
  <si>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</si>
  <si>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</si>
  <si>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</si>
  <si>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</si>
  <si>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</si>
  <si>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</si>
  <si>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</si>
  <si>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</si>
  <si>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</si>
  <si>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</si>
  <si>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</si>
  <si>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</si>
  <si>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</si>
  <si>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</si>
  <si>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</si>
  <si>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</si>
  <si>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</si>
  <si>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</si>
  <si>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</si>
  <si>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</si>
  <si>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</si>
  <si>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</si>
  <si>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</si>
  <si>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</si>
  <si>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</si>
  <si>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</si>
  <si>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</si>
  <si>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</si>
  <si>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</si>
  <si>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</si>
  <si>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</si>
  <si>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</si>
  <si>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</si>
  <si>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</si>
  <si>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</si>
  <si>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</si>
  <si>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</si>
  <si>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</si>
  <si>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</si>
  <si>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</si>
  <si>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</si>
  <si>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</si>
  <si>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</si>
  <si>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</si>
  <si>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</si>
  <si>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</si>
  <si>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</si>
  <si>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</si>
  <si>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</si>
  <si>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</si>
  <si>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</si>
  <si>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</si>
  <si>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</si>
  <si>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</si>
  <si>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</si>
  <si>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</si>
  <si>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</si>
  <si>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</si>
  <si>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</si>
  <si>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</si>
  <si>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</si>
  <si>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</si>
  <si>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</si>
  <si>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</si>
  <si>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</si>
  <si>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</si>
  <si>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</si>
  <si>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</si>
  <si>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</si>
  <si>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</si>
  <si>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</si>
  <si>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</si>
  <si>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</si>
  <si>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</si>
  <si>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</si>
  <si>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</si>
  <si>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</si>
  <si>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</si>
  <si>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</si>
  <si>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</si>
  <si>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</si>
  <si>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</si>
  <si>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</si>
  <si>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</si>
  <si>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</si>
  <si>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</si>
  <si>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</si>
  <si>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</si>
  <si>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</si>
  <si>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</si>
  <si>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</si>
  <si>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</si>
  <si>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</si>
  <si>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</si>
  <si>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</si>
  <si>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</si>
  <si>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</si>
  <si>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</si>
  <si>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</si>
  <si>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</si>
  <si>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</si>
  <si>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</si>
  <si>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</si>
  <si>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</si>
  <si>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</si>
  <si>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</si>
  <si>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</si>
  <si>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</si>
  <si>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</si>
  <si>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</si>
  <si>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</si>
  <si>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</si>
  <si>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</si>
  <si>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</si>
  <si>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</si>
  <si>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</si>
  <si>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</si>
  <si>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</si>
  <si>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</si>
  <si>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</si>
  <si>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</si>
  <si>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</si>
  <si>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</si>
  <si>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</si>
  <si>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</si>
  <si>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</si>
  <si>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</si>
  <si>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</si>
  <si>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</si>
  <si>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</si>
  <si>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</si>
  <si>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</si>
  <si>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</si>
  <si>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</si>
  <si>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</si>
  <si>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</si>
  <si>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</si>
  <si>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</si>
  <si>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</si>
  <si>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</si>
  <si>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</si>
  <si>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</si>
  <si>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</si>
  <si>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</si>
  <si>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</si>
  <si>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</si>
  <si>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</si>
  <si>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</si>
  <si>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</si>
  <si>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</si>
  <si>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</si>
  <si>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</si>
  <si>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</si>
  <si>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</si>
  <si>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</si>
  <si>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</si>
  <si>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</si>
  <si>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</si>
  <si>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</si>
  <si>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</si>
  <si>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</si>
  <si>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</si>
  <si>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</si>
  <si>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</si>
  <si>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</si>
  <si>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</si>
  <si>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</si>
  <si>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</si>
  <si>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</si>
  <si>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</si>
  <si>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Fisk mm</t>
  </si>
  <si>
    <t>Olieafgrøder</t>
  </si>
  <si>
    <t>Model</t>
  </si>
  <si>
    <t>Gruppe</t>
  </si>
  <si>
    <t>Slagtesvin</t>
  </si>
  <si>
    <t>Slagtefjerkræ</t>
  </si>
  <si>
    <t>Slagtekøer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</si>
  <si>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</si>
  <si>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</si>
  <si>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</si>
  <si>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</si>
  <si>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</si>
  <si>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</si>
  <si>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</si>
  <si>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</si>
  <si>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</si>
  <si>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</si>
  <si>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</si>
  <si>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</si>
  <si>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</si>
  <si>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</si>
  <si>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</si>
  <si>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</si>
  <si>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</si>
  <si>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</si>
  <si>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</si>
  <si>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</si>
  <si>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</si>
  <si>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</si>
  <si>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</si>
  <si>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</si>
  <si>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</si>
  <si>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</si>
  <si>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</si>
  <si>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</si>
  <si>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</si>
  <si>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</si>
  <si>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</si>
  <si>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</si>
  <si>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</si>
  <si>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</si>
  <si>
    <t>Produktion minus fødevarer</t>
  </si>
  <si>
    <t>Total biomasse produceret</t>
  </si>
  <si>
    <t>Biomasse til madforbrug</t>
  </si>
  <si>
    <t>Produktion til fødevarer</t>
  </si>
  <si>
    <t>Naturskov - selvopfunden</t>
  </si>
  <si>
    <t>Nu lagt som skov da vi mangler 200000 ha skov!?</t>
  </si>
  <si>
    <t>Baseret på: https://pure.au.dk/ws/portalfiles/portal/187801345/Notat_MOF_sp_rgsm_l_om_arealbehov_v_gr_sprotein_1405_2020.PDF, hvor der skrives om 14 tons TS/ha i forhold til 10 tons TS/ha i dag</t>
  </si>
  <si>
    <t>Fra Concito</t>
  </si>
  <si>
    <t>Proteinindhold i det høstede græs</t>
  </si>
  <si>
    <t>Effektivitet af ekstraheringen</t>
  </si>
  <si>
    <t>Kan bruges til fødevarer</t>
  </si>
  <si>
    <t>Kan bruges til foder</t>
  </si>
  <si>
    <t>Kan bruges til græsproteinekstrahering</t>
  </si>
  <si>
    <t>Total foderforbrug</t>
  </si>
  <si>
    <t>Græsprotein til foder</t>
  </si>
  <si>
    <t>ton VV</t>
  </si>
  <si>
    <t>% af græsproduktion</t>
  </si>
  <si>
    <t>Græsproduktion</t>
  </si>
  <si>
    <t>FE fra græsprotein</t>
  </si>
  <si>
    <t>10% materialegræs 25% højtydende græs</t>
  </si>
  <si>
    <t>Resterende der ikke går til foder, der går til fødevarer</t>
  </si>
  <si>
    <t>Total produktion [kcal]</t>
  </si>
  <si>
    <t>Total produktion [billion kcal]</t>
  </si>
  <si>
    <t>mio. kcal/ha</t>
  </si>
  <si>
    <t>Merproduktion fra højproduktiv kalorieproduktion</t>
  </si>
  <si>
    <t>Arealbrug af produktionen</t>
  </si>
  <si>
    <t>Antagelser om importeret foders optag i udlandet</t>
  </si>
  <si>
    <t>t/ha</t>
  </si>
  <si>
    <t>Foderkage af foderkage+olie</t>
  </si>
  <si>
    <t>Udbytte</t>
  </si>
  <si>
    <t>https://www.ft.dk/samling/20131/almdel/miu/bilag/241/1345499.pdf</t>
  </si>
  <si>
    <t>Hektaroptag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</si>
</sst>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  <numFmt numFmtId="179" formatCode="0.000"/>
    <numFmt numFmtId="190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9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178" fontId="0" fillId="0" borderId="1" xfId="0" applyNumberFormat="1" applyBorder="1"/>
    <xf numFmtId="176" fontId="0" fillId="0" borderId="15" xfId="0" applyNumberFormat="1" applyBorder="1"/>
    <xf numFmtId="176" fontId="0" fillId="0" borderId="6" xfId="0" applyNumberFormat="1" applyBorder="1"/>
    <xf numFmtId="176" fontId="0" fillId="0" borderId="25" xfId="0" applyNumberFormat="1" applyBorder="1"/>
    <xf numFmtId="167" fontId="0" fillId="2" borderId="0" xfId="2" applyNumberFormat="1" applyFont="1" applyFill="1" applyBorder="1"/>
    <xf numFmtId="1" fontId="0" fillId="3" borderId="0" xfId="0" applyNumberFormat="1" applyFill="1"/>
    <xf numFmtId="179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top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167" fontId="0" fillId="0" borderId="0" xfId="0" applyNumberFormat="1"/>
    <xf numFmtId="0" fontId="0" fillId="0" borderId="1" xfId="0" applyFill="1" applyBorder="1"/>
    <xf numFmtId="0" fontId="0" fillId="0" borderId="0" xfId="0" applyBorder="1"/>
    <xf numFmtId="176" fontId="0" fillId="0" borderId="0" xfId="0" applyNumberFormat="1" applyBorder="1"/>
    <xf numFmtId="3" fontId="0" fillId="0" borderId="0" xfId="0" applyNumberFormat="1" applyBorder="1"/>
    <xf numFmtId="190" fontId="0" fillId="0" borderId="0" xfId="0" applyNumberFormat="1"/>
    <xf numFmtId="190" fontId="0" fillId="0" borderId="15" xfId="0" applyNumberFormat="1" applyBorder="1"/>
    <xf numFmtId="179" fontId="0" fillId="0" borderId="15" xfId="0" applyNumberFormat="1" applyBorder="1"/>
    <xf numFmtId="179" fontId="0" fillId="0" borderId="16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25" xfId="0" applyNumberFormat="1" applyBorder="1"/>
    <xf numFmtId="179" fontId="0" fillId="0" borderId="17" xfId="0" applyNumberFormat="1" applyBorder="1"/>
    <xf numFmtId="190" fontId="0" fillId="0" borderId="6" xfId="0" applyNumberFormat="1" applyBorder="1"/>
    <xf numFmtId="190" fontId="0" fillId="0" borderId="7" xfId="0" applyNumberFormat="1" applyBorder="1"/>
    <xf numFmtId="190" fontId="0" fillId="0" borderId="25" xfId="0" applyNumberFormat="1" applyBorder="1"/>
    <xf numFmtId="190" fontId="0" fillId="0" borderId="17" xfId="0" applyNumberFormat="1" applyBorder="1"/>
    <xf numFmtId="190" fontId="0" fillId="0" borderId="16" xfId="0" applyNumberFormat="1" applyBorder="1"/>
    <xf numFmtId="0" fontId="1" fillId="0" borderId="0" xfId="0" applyFont="1" applyFill="1" applyBorder="1"/>
    <xf numFmtId="0" fontId="0" fillId="0" borderId="15" xfId="0" applyBorder="1"/>
    <xf numFmtId="0" fontId="0" fillId="0" borderId="6" xfId="0" applyBorder="1"/>
    <xf numFmtId="0" fontId="0" fillId="0" borderId="25" xfId="0" applyBorder="1"/>
    <xf numFmtId="4" fontId="0" fillId="3" borderId="0" xfId="0" applyNumberFormat="1" applyFill="1" applyBorder="1"/>
    <xf numFmtId="9" fontId="0" fillId="3" borderId="14" xfId="2" applyFont="1" applyFill="1" applyBorder="1"/>
    <xf numFmtId="3" fontId="18" fillId="0" borderId="13" xfId="11" applyNumberFormat="1" applyBorder="1"/>
    <xf numFmtId="3" fontId="0" fillId="12" borderId="6" xfId="0" applyNumberFormat="1" applyFill="1" applyBorder="1"/>
    <xf numFmtId="3" fontId="0" fillId="12" borderId="7" xfId="0" applyNumberFormat="1" applyFill="1" applyBorder="1"/>
    <xf numFmtId="179" fontId="0" fillId="12" borderId="6" xfId="0" applyNumberFormat="1" applyFill="1" applyBorder="1"/>
    <xf numFmtId="179" fontId="0" fillId="12" borderId="7" xfId="0" applyNumberFormat="1" applyFill="1" applyBorder="1"/>
    <xf numFmtId="190" fontId="0" fillId="0" borderId="6" xfId="0" applyNumberFormat="1" applyFill="1" applyBorder="1"/>
    <xf numFmtId="190" fontId="0" fillId="0" borderId="7" xfId="0" applyNumberForma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pivotCacheDefinition" Target="pivotCache/pivotCacheDefinition5.xml"/><Relationship Id="rId50" Type="http://schemas.openxmlformats.org/officeDocument/2006/relationships/pivotCacheDefinition" Target="pivotCache/pivotCacheDefinition8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pivotCacheDefinition" Target="pivotCache/pivotCacheDefinition6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7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2360113.5481481482</c:v>
                </c:pt>
                <c:pt idx="2">
                  <c:v>1967809.4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599146.45185185189</c:v>
                </c:pt>
                <c:pt idx="2">
                  <c:v>866450.6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4155505.2570030689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7429743.4773556339</c:v>
                </c:pt>
                <c:pt idx="2">
                  <c:v>3700585.041819687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-258162.22548621177</c:v>
                </c:pt>
                <c:pt idx="2">
                  <c:v>-1950.0172409126403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8945385.1499703117</c:v>
                </c:pt>
                <c:pt idx="2">
                  <c:v>116232.40411250692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180073.11350727544</c:v>
                </c:pt>
                <c:pt idx="2">
                  <c:v>331489.12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73607.866760578181</c:v>
                </c:pt>
                <c:pt idx="2">
                  <c:v>174510.60559841484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444567.04710477311</c:v>
                </c:pt>
                <c:pt idx="2">
                  <c:v>682477.6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17671.724441322243</c:v>
                </c:pt>
                <c:pt idx="2">
                  <c:v>25022.097261734216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17267.995311134342</c:v>
                </c:pt>
                <c:pt idx="2">
                  <c:v>14794.037636208201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75497.99136321932</c:v>
                </c:pt>
                <c:pt idx="2">
                  <c:v>105245.26582749051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839134.03680241993</c:v>
                </c:pt>
                <c:pt idx="2">
                  <c:v>111888.38375016491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114170.9193097361</c:v>
                </c:pt>
                <c:pt idx="2">
                  <c:v>15144.956432253495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43929.095606920775</c:v>
                </c:pt>
                <c:pt idx="2">
                  <c:v>5821.7212903924656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214057.37275692378</c:v>
                </c:pt>
                <c:pt idx="2">
                  <c:v>292490.40000000002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45628.198349496306</c:v>
                </c:pt>
                <c:pt idx="2">
                  <c:v>64726.236910775297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181436.99973857668</c:v>
                </c:pt>
                <c:pt idx="2">
                  <c:v>32604.873805524119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46716.554233256022</c:v>
                </c:pt>
                <c:pt idx="2">
                  <c:v>103185.75676537695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66354.632862515791</c:v>
                </c:pt>
                <c:pt idx="2">
                  <c:v>8408.3447216651639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31.617985245409482</c:v>
                </c:pt>
                <c:pt idx="2">
                  <c:v>28.548635883895898</c:v>
                </c:pt>
                <c:pt idx="3">
                  <c:v>7.483154704207001</c:v>
                </c:pt>
                <c:pt idx="4">
                  <c:v>9.4035342390445855</c:v>
                </c:pt>
                <c:pt idx="5">
                  <c:v>5.0880931042150337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13.780689652966331</c:v>
                </c:pt>
                <c:pt idx="2">
                  <c:v>65.435872113803157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28.957166580526422</c:v>
                </c:pt>
                <c:pt idx="2">
                  <c:v>9.959628283026202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0.67264123809073706</c:v>
                </c:pt>
                <c:pt idx="2">
                  <c:v>8.803169600360175E-2</c:v>
                </c:pt>
                <c:pt idx="3">
                  <c:v>5.0922829580050024</c:v>
                </c:pt>
                <c:pt idx="4">
                  <c:v>9.6002184023786228</c:v>
                </c:pt>
                <c:pt idx="5">
                  <c:v>1.3110635033941205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10.776520362839355</c:v>
                </c:pt>
                <c:pt idx="2">
                  <c:v>9.6910796059277224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62.955434169868305</c:v>
                </c:pt>
                <c:pt idx="2">
                  <c:v>72.284475090226309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1894871.7628830811</c:v>
                </c:pt>
                <c:pt idx="2">
                  <c:v>1317149.5521577739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1065872.1489228583</c:v>
                </c:pt>
                <c:pt idx="2">
                  <c:v>9158219.7398810834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2468996.5322832959</c:v>
                </c:pt>
                <c:pt idx="2">
                  <c:v>833313.86156882858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1367421.2333047125</c:v>
                </c:pt>
                <c:pt idx="2">
                  <c:v>195210.82562476638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1899304.8965703682</c:v>
                </c:pt>
                <c:pt idx="2">
                  <c:v>2093333.1380149107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45358.941062195336</c:v>
                </c:pt>
                <c:pt idx="5">
                  <c:v>6127.8304883672272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1507536.473164652</c:v>
                </c:pt>
                <c:pt idx="2">
                  <c:v>591894.98801768455</c:v>
                </c:pt>
                <c:pt idx="15">
                  <c:v>823764.99285714305</c:v>
                </c:pt>
                <c:pt idx="16">
                  <c:v>190236.74542315846</c:v>
                </c:pt>
                <c:pt idx="17">
                  <c:v>24897.170130902599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5243.8354838709674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1747.9451612903224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8606229.0812590327</c:v>
                </c:pt>
                <c:pt idx="5">
                  <c:v>1162670.7264108984</c:v>
                </c:pt>
                <c:pt idx="18">
                  <c:v>0</c:v>
                </c:pt>
                <c:pt idx="19">
                  <c:v>38585437.794175856</c:v>
                </c:pt>
                <c:pt idx="20">
                  <c:v>14690489.829349302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543677.3074538135</c:v>
                </c:pt>
                <c:pt idx="5">
                  <c:v>73448.857103623857</c:v>
                </c:pt>
                <c:pt idx="9">
                  <c:v>1895494.5192748301</c:v>
                </c:pt>
                <c:pt idx="10">
                  <c:v>1777506.2835526129</c:v>
                </c:pt>
                <c:pt idx="11">
                  <c:v>797017.71721988893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2190723.0495092547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3034307.7967753555</c:v>
                </c:pt>
                <c:pt idx="5">
                  <c:v>139661.10799021259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4874560.7966637425</c:v>
                </c:pt>
                <c:pt idx="2">
                  <c:v>66267.713341306167</c:v>
                </c:pt>
                <c:pt idx="15">
                  <c:v>9696490.333333334</c:v>
                </c:pt>
                <c:pt idx="16">
                  <c:v>1624853.5988879143</c:v>
                </c:pt>
                <c:pt idx="17">
                  <c:v>7363.0792601451285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687700.0741687679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3974704.3180609508</c:v>
                </c:pt>
                <c:pt idx="5">
                  <c:v>536071.08053741162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962189.31811065669</c:v>
                </c:pt>
                <c:pt idx="23">
                  <c:v>865274.96481497539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591556.18968613085</c:v>
                </c:pt>
                <c:pt idx="5">
                  <c:v>79917.122619122587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31087.701331546228</c:v>
                </c:pt>
                <c:pt idx="5">
                  <c:v>5027.2040456510467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2747430.5145796794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9013613.7096774187</c:v>
                </c:pt>
                <c:pt idx="2">
                  <c:v>0</c:v>
                </c:pt>
                <c:pt idx="15">
                  <c:v>14742130.666666664</c:v>
                </c:pt>
                <c:pt idx="16">
                  <c:v>3004537.9032258061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1169664.3920535347</c:v>
                </c:pt>
                <c:pt idx="11">
                  <c:v>1753629.766003873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2059162.7651662568</c:v>
                </c:pt>
                <c:pt idx="5">
                  <c:v>783977.36006031989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6450381.339929576</c:v>
                </c:pt>
                <c:pt idx="5">
                  <c:v>2455829.6312492033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14141144.683440508</c:v>
                </c:pt>
                <c:pt idx="2">
                  <c:v>6460686.3321518581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A-46C5-A73C-F0713A763245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150566.48491478726</c:v>
                </c:pt>
                <c:pt idx="5">
                  <c:v>20340.992871107879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A-46C5-A73C-F0713A763245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307900.58179541014</c:v>
                </c:pt>
                <c:pt idx="11">
                  <c:v>276887.98874079209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A-46C5-A73C-F0713A763245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24782928.313565489</c:v>
                </c:pt>
                <c:pt idx="17">
                  <c:v>225600.4272515444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0-40E8-BA11-67CD3E9E2C1D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929861.9407340826</c:v>
                </c:pt>
                <c:pt idx="17">
                  <c:v>1419989.4954988556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0-40E8-BA11-67CD3E9E2C1D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40-40E8-BA11-67CD3E9E2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17388773.623687528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929861.9407340826</c:v>
                </c:pt>
                <c:pt idx="2">
                  <c:v>1419989.4954988556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2190723.0495092547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3-4C65-AB25-B185E319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666209.0402789081</c:v>
                </c:pt>
                <c:pt idx="2">
                  <c:v>885448.63284387637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29988992.560891584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3294694.3063373538</c:v>
                </c:pt>
                <c:pt idx="2">
                  <c:v>3114555.2534101894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3090697.3911728235</c:v>
                </c:pt>
                <c:pt idx="2">
                  <c:v>502738.07074813894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1420630.6538615585</c:v>
                </c:pt>
                <c:pt idx="2">
                  <c:v>147889.18295936866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3198414.763821953</c:v>
                </c:pt>
                <c:pt idx="2">
                  <c:v>3584675.3397181388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72135.636637464821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330528.17414054112</c:v>
                </c:pt>
                <c:pt idx="2">
                  <c:v>412296.48953637981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B-46DA-B040-A22E6CC3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2360113.5481481482</c:v>
                </c:pt>
                <c:pt idx="2">
                  <c:v>1967809.4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599146.45185185189</c:v>
                </c:pt>
                <c:pt idx="2">
                  <c:v>866450.6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4155505.2570030689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7429743.4773556339</c:v>
                </c:pt>
                <c:pt idx="2">
                  <c:v>3700585.041819687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-258162.22548621177</c:v>
                </c:pt>
                <c:pt idx="2">
                  <c:v>-1950.0172409126403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8945385.1499703117</c:v>
                </c:pt>
                <c:pt idx="2">
                  <c:v>116232.40411250692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17388773.623687528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929861.9407340826</c:v>
                </c:pt>
                <c:pt idx="2">
                  <c:v>1419989.4954988556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2190723.0495092547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9-4D80-813A-50E23F000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666209.0402789081</c:v>
                </c:pt>
                <c:pt idx="2">
                  <c:v>885448.63284387637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29988992.560891584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3294694.3063373538</c:v>
                </c:pt>
                <c:pt idx="2">
                  <c:v>3114555.2534101894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3090697.3911728235</c:v>
                </c:pt>
                <c:pt idx="2">
                  <c:v>502738.07074813894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1420630.6538615585</c:v>
                </c:pt>
                <c:pt idx="2">
                  <c:v>147889.18295936866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3198414.763821953</c:v>
                </c:pt>
                <c:pt idx="2">
                  <c:v>3584675.3397181388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72135.636637464821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330528.17414054112</c:v>
                </c:pt>
                <c:pt idx="2">
                  <c:v>412296.48953637981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2-4D81-9D14-08BE376B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4155505.2570030689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7429743.4773556339</c:v>
                </c:pt>
                <c:pt idx="2">
                  <c:v>3700585.041819687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-258162.22548621177</c:v>
                </c:pt>
                <c:pt idx="2">
                  <c:v>-1950.0172409126403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8945385.1499703117</c:v>
                </c:pt>
                <c:pt idx="2">
                  <c:v>116232.40411250692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17388773.623687528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929861.9407340826</c:v>
                </c:pt>
                <c:pt idx="2">
                  <c:v>1419989.4954988556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2190723.0495092547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96-4011-934E-E4E03423A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666209.0402789081</c:v>
                </c:pt>
                <c:pt idx="2">
                  <c:v>885448.63284387637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29988992.560891584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3294694.3063373538</c:v>
                </c:pt>
                <c:pt idx="2">
                  <c:v>3114555.2534101894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3090697.3911728235</c:v>
                </c:pt>
                <c:pt idx="2">
                  <c:v>502738.07074813894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1420630.6538615585</c:v>
                </c:pt>
                <c:pt idx="2">
                  <c:v>147889.18295936866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3198414.763821953</c:v>
                </c:pt>
                <c:pt idx="2">
                  <c:v>3584675.3397181388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72135.636637464821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330528.17414054112</c:v>
                </c:pt>
                <c:pt idx="2">
                  <c:v>412296.48953637981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7-472B-BD32-EF284B71D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2858758.2285455461</c:v>
                </c:pt>
                <c:pt idx="2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789510.6267450063</c:v>
                </c:pt>
                <c:pt idx="2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62068.28830684859</c:v>
                </c:pt>
                <c:pt idx="2">
                  <c:v>132376.30799685171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93102.432460272888</c:v>
                </c:pt>
                <c:pt idx="2">
                  <c:v>198564.46199527758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666209.0402789081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885448.63284387637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CONCITO!$C$22:$C$34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0</c:v>
                </c:pt>
                <c:pt idx="5">
                  <c:v>280322.43675931642</c:v>
                </c:pt>
                <c:pt idx="6">
                  <c:v>0</c:v>
                </c:pt>
                <c:pt idx="7">
                  <c:v>-5421074.2654714445</c:v>
                </c:pt>
                <c:pt idx="8">
                  <c:v>2263176.157376945</c:v>
                </c:pt>
                <c:pt idx="9">
                  <c:v>3781951.1214967929</c:v>
                </c:pt>
                <c:pt idx="10">
                  <c:v>3383628.2</c:v>
                </c:pt>
                <c:pt idx="11">
                  <c:v>956.59999999999991</c:v>
                </c:pt>
                <c:pt idx="12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CONCITO!$D$22:$D$34</c:f>
              <c:numCache>
                <c:formatCode>#,##0</c:formatCode>
                <c:ptCount val="13"/>
                <c:pt idx="0">
                  <c:v>42217.628788690155</c:v>
                </c:pt>
                <c:pt idx="1">
                  <c:v>885448.63284387637</c:v>
                </c:pt>
                <c:pt idx="2">
                  <c:v>66766.505156136613</c:v>
                </c:pt>
                <c:pt idx="3">
                  <c:v>1032360.8523594537</c:v>
                </c:pt>
                <c:pt idx="4">
                  <c:v>16660551.422717549</c:v>
                </c:pt>
                <c:pt idx="5">
                  <c:v>402131.52042787225</c:v>
                </c:pt>
                <c:pt idx="6">
                  <c:v>276887.98874079209</c:v>
                </c:pt>
                <c:pt idx="7">
                  <c:v>0</c:v>
                </c:pt>
                <c:pt idx="8">
                  <c:v>3114555.2534101894</c:v>
                </c:pt>
                <c:pt idx="9">
                  <c:v>650627.25370750763</c:v>
                </c:pt>
                <c:pt idx="10">
                  <c:v>0</c:v>
                </c:pt>
                <c:pt idx="11">
                  <c:v>956.59999999999991</c:v>
                </c:pt>
                <c:pt idx="12">
                  <c:v>3584675.3397181393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CONCITO!$E$22:$E$34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</c:v>
                </c:pt>
                <c:pt idx="5">
                  <c:v>0.10932575033613341</c:v>
                </c:pt>
                <c:pt idx="6">
                  <c:v>0</c:v>
                </c:pt>
                <c:pt idx="7">
                  <c:v>-3.0900123313187238</c:v>
                </c:pt>
                <c:pt idx="8">
                  <c:v>1.765277402754017</c:v>
                </c:pt>
                <c:pt idx="9">
                  <c:v>6.9874764884350302</c:v>
                </c:pt>
                <c:pt idx="10">
                  <c:v>2.1316857659999999</c:v>
                </c:pt>
                <c:pt idx="11">
                  <c:v>7.6169499999999995E-4</c:v>
                </c:pt>
                <c:pt idx="12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CONCITO!$F$22:$F$34</c:f>
              <c:numCache>
                <c:formatCode>#,##0.000</c:formatCode>
                <c:ptCount val="13"/>
                <c:pt idx="0">
                  <c:v>5.8260327728392416E-2</c:v>
                </c:pt>
                <c:pt idx="1">
                  <c:v>6.1494407551007217</c:v>
                </c:pt>
                <c:pt idx="2">
                  <c:v>0.12739738926111124</c:v>
                </c:pt>
                <c:pt idx="3">
                  <c:v>0.53682764322691601</c:v>
                </c:pt>
                <c:pt idx="4">
                  <c:v>4.5816516412473272</c:v>
                </c:pt>
                <c:pt idx="5">
                  <c:v>0.15683129296687018</c:v>
                </c:pt>
                <c:pt idx="6">
                  <c:v>2.4919918986671288</c:v>
                </c:pt>
                <c:pt idx="7">
                  <c:v>0</c:v>
                </c:pt>
                <c:pt idx="8">
                  <c:v>2.4293530976599476</c:v>
                </c:pt>
                <c:pt idx="9">
                  <c:v>1.3030122518944911</c:v>
                </c:pt>
                <c:pt idx="10">
                  <c:v>0</c:v>
                </c:pt>
                <c:pt idx="11">
                  <c:v>7.6169499999999995E-4</c:v>
                </c:pt>
                <c:pt idx="12">
                  <c:v>1.0754026019154417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mad eller anden 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CONCITO!$C$4:$C$11</c:f>
              <c:numCache>
                <c:formatCode>#,##0</c:formatCode>
                <c:ptCount val="8"/>
                <c:pt idx="0">
                  <c:v>4698263.1968560591</c:v>
                </c:pt>
                <c:pt idx="1">
                  <c:v>1352218.0071428572</c:v>
                </c:pt>
                <c:pt idx="2">
                  <c:v>0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CONCITO!$D$4:$D$11</c:f>
              <c:numCache>
                <c:formatCode>#,##0</c:formatCode>
                <c:ptCount val="8"/>
                <c:pt idx="0">
                  <c:v>7108480.1569624562</c:v>
                </c:pt>
                <c:pt idx="1">
                  <c:v>40868.939648840227</c:v>
                </c:pt>
                <c:pt idx="2">
                  <c:v>4272142.4689821573</c:v>
                </c:pt>
                <c:pt idx="3">
                  <c:v>33721557.083569095</c:v>
                </c:pt>
                <c:pt idx="4">
                  <c:v>1299755.7879680279</c:v>
                </c:pt>
                <c:pt idx="5">
                  <c:v>956.59999999999991</c:v>
                </c:pt>
                <c:pt idx="6">
                  <c:v>4514694.8749305187</c:v>
                </c:pt>
                <c:pt idx="7">
                  <c:v>276887.98874079209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non-food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CONCITO!$C$39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CONCITO!$B$40:$B$47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CONCITO!$C$40:$C$47</c:f>
              <c:numCache>
                <c:formatCode>#,##0</c:formatCode>
                <c:ptCount val="8"/>
                <c:pt idx="0">
                  <c:v>4698263.1968560591</c:v>
                </c:pt>
                <c:pt idx="1">
                  <c:v>1352218.0071428572</c:v>
                </c:pt>
                <c:pt idx="2">
                  <c:v>0</c:v>
                </c:pt>
                <c:pt idx="3">
                  <c:v>4087571.5535632987</c:v>
                </c:pt>
                <c:pt idx="4">
                  <c:v>1895494.5192748315</c:v>
                </c:pt>
                <c:pt idx="5">
                  <c:v>0</c:v>
                </c:pt>
                <c:pt idx="6">
                  <c:v>3220159.2034965986</c:v>
                </c:pt>
                <c:pt idx="7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E-4833-B057-AA4B66838B5A}"/>
            </c:ext>
          </c:extLst>
        </c:ser>
        <c:ser>
          <c:idx val="1"/>
          <c:order val="1"/>
          <c:tx>
            <c:strRef>
              <c:f>CONCITO!$D$39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CONCITO!$B$40:$B$47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CONCITO!$D$40:$D$47</c:f>
              <c:numCache>
                <c:formatCode>#,##0</c:formatCode>
                <c:ptCount val="8"/>
                <c:pt idx="0">
                  <c:v>7108480.1569624562</c:v>
                </c:pt>
                <c:pt idx="1">
                  <c:v>40868.939648840227</c:v>
                </c:pt>
                <c:pt idx="2">
                  <c:v>4272142.4689821573</c:v>
                </c:pt>
                <c:pt idx="3">
                  <c:v>13328441.138174038</c:v>
                </c:pt>
                <c:pt idx="4">
                  <c:v>797017.71721988893</c:v>
                </c:pt>
                <c:pt idx="5">
                  <c:v>0</c:v>
                </c:pt>
                <c:pt idx="6">
                  <c:v>4514694.8749305187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E-4833-B057-AA4B668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45358.941062195336</c:v>
                </c:pt>
                <c:pt idx="5">
                  <c:v>6127.8304883672272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1507536.473164652</c:v>
                </c:pt>
                <c:pt idx="2">
                  <c:v>591894.98801768455</c:v>
                </c:pt>
                <c:pt idx="15">
                  <c:v>823764.99285714305</c:v>
                </c:pt>
                <c:pt idx="16">
                  <c:v>190236.74542315846</c:v>
                </c:pt>
                <c:pt idx="17">
                  <c:v>24897.170130902599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5243.8354838709674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1747.9451612903224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8606229.0812590327</c:v>
                </c:pt>
                <c:pt idx="5">
                  <c:v>1162670.7264108984</c:v>
                </c:pt>
                <c:pt idx="18">
                  <c:v>0</c:v>
                </c:pt>
                <c:pt idx="19">
                  <c:v>38585437.794175856</c:v>
                </c:pt>
                <c:pt idx="20">
                  <c:v>14690489.829349302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543677.3074538135</c:v>
                </c:pt>
                <c:pt idx="5">
                  <c:v>73448.857103623857</c:v>
                </c:pt>
                <c:pt idx="9">
                  <c:v>1895494.5192748301</c:v>
                </c:pt>
                <c:pt idx="10">
                  <c:v>1777506.2835526129</c:v>
                </c:pt>
                <c:pt idx="11">
                  <c:v>797017.71721988893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2190723.0495092547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3034307.7967753555</c:v>
                </c:pt>
                <c:pt idx="5">
                  <c:v>139661.10799021259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4874560.7966637425</c:v>
                </c:pt>
                <c:pt idx="2">
                  <c:v>66267.713341306167</c:v>
                </c:pt>
                <c:pt idx="15">
                  <c:v>9696490.333333334</c:v>
                </c:pt>
                <c:pt idx="16">
                  <c:v>1624853.5988879143</c:v>
                </c:pt>
                <c:pt idx="17">
                  <c:v>7363.0792601451285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687700.0741687679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3974704.3180609508</c:v>
                </c:pt>
                <c:pt idx="5">
                  <c:v>536071.08053741162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962189.31811065669</c:v>
                </c:pt>
                <c:pt idx="23">
                  <c:v>865274.96481497539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591556.18968613085</c:v>
                </c:pt>
                <c:pt idx="5">
                  <c:v>79917.122619122587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31087.701331546228</c:v>
                </c:pt>
                <c:pt idx="5">
                  <c:v>5027.2040456510467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2747430.5145796794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9013613.7096774187</c:v>
                </c:pt>
                <c:pt idx="2">
                  <c:v>0</c:v>
                </c:pt>
                <c:pt idx="15">
                  <c:v>14742130.666666664</c:v>
                </c:pt>
                <c:pt idx="16">
                  <c:v>3004537.9032258061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1169664.3920535347</c:v>
                </c:pt>
                <c:pt idx="11">
                  <c:v>1753629.766003873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2059162.7651662568</c:v>
                </c:pt>
                <c:pt idx="5">
                  <c:v>783977.36006031989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6450381.339929576</c:v>
                </c:pt>
                <c:pt idx="5">
                  <c:v>2455829.6312492033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14141144.683440508</c:v>
                </c:pt>
                <c:pt idx="2">
                  <c:v>6460686.3321518581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9-4185-81BE-75E5CFB66DDA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150566.48491478726</c:v>
                </c:pt>
                <c:pt idx="5">
                  <c:v>20340.992871107879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9-4185-81BE-75E5CFB66DDA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307900.58179541014</c:v>
                </c:pt>
                <c:pt idx="11">
                  <c:v>276887.98874079209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9-4185-81BE-75E5CFB66DDA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24782928.313565489</c:v>
                </c:pt>
                <c:pt idx="17">
                  <c:v>225600.4272515444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4-4E72-A51A-267625876CF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929861.9407340826</c:v>
                </c:pt>
                <c:pt idx="17">
                  <c:v>1419989.4954988556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84-4E72-A51A-267625876CF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4-4E72-A51A-26762587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17388773.623687528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929861.9407340826</c:v>
                </c:pt>
                <c:pt idx="2">
                  <c:v>1419989.4954988556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2190723.0495092547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0-4072-8916-8CE5C7814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666209.0402789081</c:v>
                </c:pt>
                <c:pt idx="2">
                  <c:v>885448.63284387637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29988992.560891584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3294694.3063373538</c:v>
                </c:pt>
                <c:pt idx="2">
                  <c:v>3114555.2534101894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3090697.3911728235</c:v>
                </c:pt>
                <c:pt idx="2">
                  <c:v>502738.07074813894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1420630.6538615585</c:v>
                </c:pt>
                <c:pt idx="2">
                  <c:v>147889.18295936866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3198414.763821953</c:v>
                </c:pt>
                <c:pt idx="2">
                  <c:v>3584675.3397181388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72135.636637464821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330528.17414054112</c:v>
                </c:pt>
                <c:pt idx="2">
                  <c:v>412296.48953637981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1-4309-BF0B-F45228FC2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31.617985245409482</c:v>
                </c:pt>
                <c:pt idx="2">
                  <c:v>28.548635883895898</c:v>
                </c:pt>
                <c:pt idx="3">
                  <c:v>7.483154704207001</c:v>
                </c:pt>
                <c:pt idx="4">
                  <c:v>9.4035342390445855</c:v>
                </c:pt>
                <c:pt idx="5">
                  <c:v>5.0880931042150337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13.780689652966331</c:v>
                </c:pt>
                <c:pt idx="2">
                  <c:v>65.435872113803157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28.957166580526422</c:v>
                </c:pt>
                <c:pt idx="2">
                  <c:v>9.959628283026202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0.67264123809073706</c:v>
                </c:pt>
                <c:pt idx="2">
                  <c:v>8.803169600360175E-2</c:v>
                </c:pt>
                <c:pt idx="3">
                  <c:v>5.0922829580050024</c:v>
                </c:pt>
                <c:pt idx="4">
                  <c:v>9.6002184023786228</c:v>
                </c:pt>
                <c:pt idx="5">
                  <c:v>1.3110635033941205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10.776520362839355</c:v>
                </c:pt>
                <c:pt idx="2">
                  <c:v>9.6910796059277224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62.955434169868305</c:v>
                </c:pt>
                <c:pt idx="2">
                  <c:v>72.284475090226309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1894871.7628830811</c:v>
                </c:pt>
                <c:pt idx="2">
                  <c:v>1317149.5521577739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1065872.1489228583</c:v>
                </c:pt>
                <c:pt idx="2">
                  <c:v>9158219.7398810834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2468996.5322832959</c:v>
                </c:pt>
                <c:pt idx="2">
                  <c:v>833313.86156882858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1367421.2333047125</c:v>
                </c:pt>
                <c:pt idx="2">
                  <c:v>195210.82562476638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1899304.8965703682</c:v>
                </c:pt>
                <c:pt idx="2">
                  <c:v>2093333.1380149107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485529" y="200025"/>
          <a:ext cx="1190065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1474694</xdr:colOff>
      <xdr:row>5</xdr:row>
      <xdr:rowOff>122854</xdr:rowOff>
    </xdr:from>
    <xdr:to>
      <xdr:col>13</xdr:col>
      <xdr:colOff>181535</xdr:colOff>
      <xdr:row>36</xdr:row>
      <xdr:rowOff>143436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558165</xdr:colOff>
      <xdr:row>18</xdr:row>
      <xdr:rowOff>169545</xdr:rowOff>
    </xdr:from>
    <xdr:to>
      <xdr:col>20</xdr:col>
      <xdr:colOff>253365</xdr:colOff>
      <xdr:row>35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367665</xdr:colOff>
      <xdr:row>18</xdr:row>
      <xdr:rowOff>165735</xdr:rowOff>
    </xdr:from>
    <xdr:to>
      <xdr:col>28</xdr:col>
      <xdr:colOff>62865</xdr:colOff>
      <xdr:row>35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17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640080</xdr:colOff>
      <xdr:row>39</xdr:row>
      <xdr:rowOff>95250</xdr:rowOff>
    </xdr:from>
    <xdr:to>
      <xdr:col>17</xdr:col>
      <xdr:colOff>549593</xdr:colOff>
      <xdr:row>56</xdr:row>
      <xdr:rowOff>186690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6D29A-D143-44B4-8FB2-4DDC8527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4.5</v>
          </cell>
          <cell r="J9">
            <v>4.5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-10</v>
          </cell>
          <cell r="I81">
            <v>-10</v>
          </cell>
          <cell r="J81">
            <v>-10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-10</v>
          </cell>
          <cell r="I85">
            <v>-10</v>
          </cell>
          <cell r="J85">
            <v>-10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-10</v>
          </cell>
          <cell r="I89">
            <v>-10</v>
          </cell>
          <cell r="J89">
            <v>-10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-10</v>
          </cell>
          <cell r="I93">
            <v>-10</v>
          </cell>
          <cell r="J93">
            <v>-10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33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68981478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34221449.144391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69212963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69328702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34445105.8353904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69444447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19821015.948231682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19821015.9482316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69675925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7487622.60657209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2541790.149155317"/>
    </cacheField>
    <cacheField name="Gødning" numFmtId="0">
      <sharedItems containsSemiMixedTypes="0" containsString="0" containsNumber="1" minValue="0" maxValue="21322392.885014642"/>
    </cacheField>
    <cacheField name="Energi" numFmtId="0">
      <sharedItems containsSemiMixedTypes="0" containsString="0" containsNumber="1" minValue="0" maxValue="457487622.60657209"/>
    </cacheField>
    <cacheField name="Materialer og processer" numFmtId="0">
      <sharedItems containsSemiMixedTypes="0" containsString="0" containsNumber="1" minValue="0" maxValue="34221449.144391388"/>
    </cacheField>
    <cacheField name="Produktion minus forbrug [ton]" numFmtId="3">
      <sharedItems containsSemiMixedTypes="0" containsString="0" containsNumber="1" minValue="-18621022.550773829" maxValue="20466702.708067227"/>
    </cacheField>
    <cacheField name="Potentiale til energi [ton]" numFmtId="3">
      <sharedItems containsSemiMixedTypes="0" containsString="0" containsNumber="1" minValue="0" maxValue="20466702.708067227"/>
    </cacheField>
    <cacheField name="Forbrug energi [ton/m3]" numFmtId="3">
      <sharedItems containsSemiMixedTypes="0" containsString="0" containsNumber="1" minValue="0" maxValue="457487622.60657209"/>
    </cacheField>
    <cacheField name="Potentiale til energi [PJ]" numFmtId="0">
      <sharedItems containsSemiMixedTypes="0" containsString="0" containsNumber="1" minValue="0" maxValue="37.656174645005194"/>
    </cacheField>
    <cacheField name="Forbrug/potentiale [PJ]" numFmtId="0">
      <sharedItems containsSemiMixedTypes="0" containsString="0" containsNumber="1" minValue="0" maxValue="37.656174645005194"/>
    </cacheField>
    <cacheField name="Biogasproduktion [PJ]" numFmtId="0">
      <sharedItems containsSemiMixedTypes="0" containsString="0" containsNumber="1" minValue="0" maxValue="7.1240638562192586"/>
    </cacheField>
    <cacheField name="Biomasser til energi eksl. biogas [PJ]" numFmtId="0">
      <sharedItems containsSemiMixedTypes="0" containsString="0" containsNumber="1" minValue="0" maxValue="37.656174645005194"/>
    </cacheField>
    <cacheField name="Potentiale til energi [Ton TS]" numFmtId="0">
      <sharedItems containsSemiMixedTypes="0" containsString="0" containsNumber="1" minValue="0" maxValue="5730676.7582588242"/>
    </cacheField>
    <cacheField name="Forbrug/potentiale [Ton TS]" numFmtId="0">
      <sharedItems containsSemiMixedTypes="0" containsString="0" containsNumber="1" minValue="0" maxValue="5730676.7582588242"/>
    </cacheField>
    <cacheField name="Biogasproduktion [Ton TS]" numFmtId="0">
      <sharedItems containsSemiMixedTypes="0" containsString="0" containsNumber="1" minValue="0" maxValue="536329.43282535998"/>
    </cacheField>
    <cacheField name="Biomasser til energi eksl. biogas [Ton TS]" numFmtId="0">
      <sharedItems containsSemiMixedTypes="0" containsString="0" containsNumber="1" minValue="0" maxValue="5730676.758258824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70023148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7487622.60657209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2541790.149155317"/>
    </cacheField>
    <cacheField name="Gødning" numFmtId="0">
      <sharedItems containsSemiMixedTypes="0" containsString="0" containsNumber="1" minValue="0" maxValue="21322392.885014642"/>
    </cacheField>
    <cacheField name="Energi" numFmtId="0">
      <sharedItems containsSemiMixedTypes="0" containsString="0" containsNumber="1" minValue="0" maxValue="457487622.60657209"/>
    </cacheField>
    <cacheField name="Materialer og processer" numFmtId="0">
      <sharedItems containsSemiMixedTypes="0" containsString="0" containsNumber="1" minValue="0" maxValue="34221449.144391388"/>
    </cacheField>
    <cacheField name="Produktion minus forbrug [ton]" numFmtId="3">
      <sharedItems containsSemiMixedTypes="0" containsString="0" containsNumber="1" minValue="-18621022.550773829" maxValue="20466702.708067227"/>
    </cacheField>
    <cacheField name="Potentiale til energi [ton]" numFmtId="3">
      <sharedItems containsSemiMixedTypes="0" containsString="0" containsNumber="1" minValue="0" maxValue="20466702.708067227"/>
    </cacheField>
    <cacheField name="Forbrug energi [ton/m3]" numFmtId="3">
      <sharedItems containsSemiMixedTypes="0" containsString="0" containsNumber="1" minValue="0" maxValue="457487622.60657209"/>
    </cacheField>
    <cacheField name="Potentiale til energi [PJ]" numFmtId="0">
      <sharedItems containsSemiMixedTypes="0" containsString="0" containsNumber="1" minValue="0" maxValue="37.656174645005194"/>
    </cacheField>
    <cacheField name="Forbrug/potentiale [PJ]" numFmtId="0">
      <sharedItems containsSemiMixedTypes="0" containsString="0" containsNumber="1" minValue="0" maxValue="37.656174645005194"/>
    </cacheField>
    <cacheField name="Biogasproduktion [PJ]" numFmtId="0">
      <sharedItems containsSemiMixedTypes="0" containsString="0" containsNumber="1" minValue="0" maxValue="7.1240638562192586"/>
    </cacheField>
    <cacheField name="Biomasser til energi eksl. biogas [PJ]" numFmtId="0">
      <sharedItems containsSemiMixedTypes="0" containsString="0" containsNumber="1" minValue="0" maxValue="37.656174645005194"/>
    </cacheField>
    <cacheField name="Potentiale til energi [Ton TS]" numFmtId="0">
      <sharedItems containsSemiMixedTypes="0" containsString="0" containsNumber="1" minValue="0" maxValue="5730676.7582588242"/>
    </cacheField>
    <cacheField name="Forbrug/potentiale [Ton TS]" numFmtId="0">
      <sharedItems containsSemiMixedTypes="0" containsString="0" containsNumber="1" minValue="0" maxValue="5730676.7582588242"/>
    </cacheField>
    <cacheField name="Biogasproduktion [Ton TS]" numFmtId="0">
      <sharedItems containsSemiMixedTypes="0" containsString="0" containsNumber="1" minValue="0" maxValue="536329.43282535998"/>
    </cacheField>
    <cacheField name="Biomasser til energi eksl. biogas [Ton TS]" numFmtId="0">
      <sharedItems containsSemiMixedTypes="0" containsString="0" containsNumber="1" minValue="0" maxValue="5730676.75825882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7048611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992425.2998776729" maxValue="12925230.88589053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8.501170717595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7487622.60657209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2541790.149155317"/>
    </cacheField>
    <cacheField name="Gødning" numFmtId="0">
      <sharedItems containsSemiMixedTypes="0" containsString="0" containsNumber="1" minValue="0" maxValue="21322392.885014642"/>
    </cacheField>
    <cacheField name="Energi" numFmtId="0">
      <sharedItems containsSemiMixedTypes="0" containsString="0" containsNumber="1" minValue="0" maxValue="457487622.60657209"/>
    </cacheField>
    <cacheField name="Materialer og processer" numFmtId="0">
      <sharedItems containsSemiMixedTypes="0" containsString="0" containsNumber="1" minValue="0" maxValue="34221449.144391388"/>
    </cacheField>
    <cacheField name="Produktion minus forbrug [ton]" numFmtId="3">
      <sharedItems containsSemiMixedTypes="0" containsString="0" containsNumber="1" minValue="-18621022.550773829" maxValue="20466702.708067227"/>
    </cacheField>
    <cacheField name="Potentiale til energi [ton]" numFmtId="3">
      <sharedItems containsSemiMixedTypes="0" containsString="0" containsNumber="1" minValue="0" maxValue="20466702.708067227"/>
    </cacheField>
    <cacheField name="Forbrug energi [ton/m3]" numFmtId="3">
      <sharedItems containsSemiMixedTypes="0" containsString="0" containsNumber="1" minValue="0" maxValue="457487622.60657209"/>
    </cacheField>
    <cacheField name="Potentiale til energi [PJ]" numFmtId="0">
      <sharedItems containsSemiMixedTypes="0" containsString="0" containsNumber="1" minValue="0" maxValue="37.656174645005194"/>
    </cacheField>
    <cacheField name="Forbrug/potentiale [PJ]" numFmtId="0">
      <sharedItems containsSemiMixedTypes="0" containsString="0" containsNumber="1" minValue="0" maxValue="37.656174645005194"/>
    </cacheField>
    <cacheField name="Biogasproduktion [PJ]" numFmtId="0">
      <sharedItems containsSemiMixedTypes="0" containsString="0" containsNumber="1" minValue="0" maxValue="7.1240638562192586"/>
    </cacheField>
    <cacheField name="Biomasser til energi eksl. biogas [PJ]" numFmtId="0">
      <sharedItems containsSemiMixedTypes="0" containsString="0" containsNumber="1" minValue="0" maxValue="37.656174645005194"/>
    </cacheField>
    <cacheField name="Potentiale til energi [Ton TS]" numFmtId="0">
      <sharedItems containsSemiMixedTypes="0" containsString="0" containsNumber="1" minValue="0" maxValue="5730676.7582588242"/>
    </cacheField>
    <cacheField name="Forbrug/potentiale [Ton TS]" numFmtId="0">
      <sharedItems containsSemiMixedTypes="0" containsString="0" containsNumber="1" minValue="0" maxValue="5730676.7582588242"/>
    </cacheField>
    <cacheField name="Biogasproduktion [Ton TS]" numFmtId="0">
      <sharedItems containsSemiMixedTypes="0" containsString="0" containsNumber="1" minValue="0" maxValue="536329.43282535998"/>
    </cacheField>
    <cacheField name="Biomasser til energi eksl. biogas [Ton TS]" numFmtId="0">
      <sharedItems containsSemiMixedTypes="0" containsString="0" containsNumber="1" minValue="0" maxValue="5730676.758258824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872859.1335150246"/>
  </r>
  <r>
    <x v="1"/>
    <s v="Vestdanmark"/>
    <x v="15"/>
    <x v="1"/>
    <n v="4551096.1446218006"/>
  </r>
  <r>
    <x v="1"/>
    <s v="Vestdanmark"/>
    <x v="16"/>
    <x v="1"/>
    <n v="4837.8006601561638"/>
  </r>
  <r>
    <x v="1"/>
    <s v="Vestdanmark"/>
    <x v="17"/>
    <x v="1"/>
    <n v="1481053.1985566379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329182.5428542641"/>
  </r>
  <r>
    <x v="1"/>
    <s v="Vestdanmark"/>
    <x v="21"/>
    <x v="1"/>
    <n v="12541790.149155317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61870.340176480422"/>
  </r>
  <r>
    <x v="1"/>
    <s v="Vestdanmark"/>
    <x v="16"/>
    <x v="2"/>
    <n v="5056.5736535095893"/>
  </r>
  <r>
    <x v="1"/>
    <s v="Vestdanmark"/>
    <x v="17"/>
    <x v="2"/>
    <n v="1517880.3720548805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518251.34982790216"/>
  </r>
  <r>
    <x v="1"/>
    <s v="Vestdanmark"/>
    <x v="21"/>
    <x v="2"/>
    <n v="5696660.7833409132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40754.5761623941"/>
  </r>
  <r>
    <x v="1"/>
    <s v="Østdanmark"/>
    <x v="15"/>
    <x v="1"/>
    <n v="323464.65204194176"/>
  </r>
  <r>
    <x v="1"/>
    <s v="Østdanmark"/>
    <x v="16"/>
    <x v="1"/>
    <n v="406.03482371480391"/>
  </r>
  <r>
    <x v="1"/>
    <s v="Østdanmark"/>
    <x v="17"/>
    <x v="1"/>
    <n v="1266377.3160230415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178353.93031038792"/>
  </r>
  <r>
    <x v="1"/>
    <s v="Østdanmark"/>
    <x v="21"/>
    <x v="1"/>
    <n v="1599354.5342851914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4397.3731648257435"/>
  </r>
  <r>
    <x v="1"/>
    <s v="Østdanmark"/>
    <x v="16"/>
    <x v="2"/>
    <n v="424.39636029513713"/>
  </r>
  <r>
    <x v="1"/>
    <s v="Østdanmark"/>
    <x v="17"/>
    <x v="2"/>
    <n v="1324256.64449423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73643.638189782447"/>
  </r>
  <r>
    <x v="1"/>
    <s v="Østdanmark"/>
    <x v="21"/>
    <x v="2"/>
    <n v="764025.54881094524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2691129.5009707427"/>
  </r>
  <r>
    <x v="2"/>
    <s v="Vestdanmark"/>
    <x v="22"/>
    <x v="1"/>
    <n v="482187.74728528934"/>
  </r>
  <r>
    <x v="2"/>
    <s v="Vestdanmark"/>
    <x v="2"/>
    <x v="1"/>
    <n v="0"/>
  </r>
  <r>
    <x v="2"/>
    <s v="Vestdanmark"/>
    <x v="5"/>
    <x v="1"/>
    <n v="40228.873469919854"/>
  </r>
  <r>
    <x v="2"/>
    <s v="Vestdanmark"/>
    <x v="25"/>
    <x v="1"/>
    <n v="524651.55817020475"/>
  </r>
  <r>
    <x v="2"/>
    <s v="Vestdanmark"/>
    <x v="24"/>
    <x v="1"/>
    <n v="3525167.7695113975"/>
  </r>
  <r>
    <x v="2"/>
    <s v="Vestdanmark"/>
    <x v="28"/>
    <x v="1"/>
    <n v="133537.51054598394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7632870.0065635424"/>
  </r>
  <r>
    <x v="2"/>
    <s v="Vestdanmark"/>
    <x v="29"/>
    <x v="1"/>
    <n v="609921.6300278171"/>
  </r>
  <r>
    <x v="2"/>
    <s v="Vestdanmark"/>
    <x v="30"/>
    <x v="1"/>
    <n v="1826272.75668226"/>
  </r>
  <r>
    <x v="2"/>
    <s v="Vestdanmark"/>
    <x v="31"/>
    <x v="1"/>
    <n v="5720847.2834705068"/>
  </r>
  <r>
    <x v="2"/>
    <s v="Vestdanmark"/>
    <x v="32"/>
    <x v="1"/>
    <n v="27571.70194124684"/>
  </r>
  <r>
    <x v="2"/>
    <s v="Vestdanmark"/>
    <x v="33"/>
    <x v="1"/>
    <n v="1942953.6559396773"/>
  </r>
  <r>
    <x v="2"/>
    <s v="Vestdanmark"/>
    <x v="0"/>
    <x v="2"/>
    <n v="123145.11430255328"/>
  </r>
  <r>
    <x v="2"/>
    <s v="Vestdanmark"/>
    <x v="22"/>
    <x v="2"/>
    <n v="64762.968256356122"/>
  </r>
  <r>
    <x v="2"/>
    <s v="Vestdanmark"/>
    <x v="2"/>
    <x v="2"/>
    <n v="0"/>
  </r>
  <r>
    <x v="2"/>
    <s v="Vestdanmark"/>
    <x v="5"/>
    <x v="2"/>
    <n v="5403.1676876681813"/>
  </r>
  <r>
    <x v="2"/>
    <s v="Vestdanmark"/>
    <x v="25"/>
    <x v="2"/>
    <n v="70466.311926672526"/>
  </r>
  <r>
    <x v="2"/>
    <s v="Vestdanmark"/>
    <x v="24"/>
    <x v="2"/>
    <n v="472676.57715918368"/>
  </r>
  <r>
    <x v="2"/>
    <s v="Vestdanmark"/>
    <x v="28"/>
    <x v="2"/>
    <n v="17935.514963231879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25176.0247393751"/>
  </r>
  <r>
    <x v="2"/>
    <s v="Vestdanmark"/>
    <x v="29"/>
    <x v="2"/>
    <n v="0"/>
  </r>
  <r>
    <x v="2"/>
    <s v="Vestdanmark"/>
    <x v="30"/>
    <x v="2"/>
    <n v="691266.04395840655"/>
  </r>
  <r>
    <x v="2"/>
    <s v="Vestdanmark"/>
    <x v="31"/>
    <x v="2"/>
    <n v="2165409.00326363"/>
  </r>
  <r>
    <x v="2"/>
    <s v="Vestdanmark"/>
    <x v="32"/>
    <x v="2"/>
    <n v="4432.698735766445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343178.29580461275"/>
  </r>
  <r>
    <x v="2"/>
    <s v="Østdanmark"/>
    <x v="22"/>
    <x v="1"/>
    <n v="61489.560168524164"/>
  </r>
  <r>
    <x v="2"/>
    <s v="Østdanmark"/>
    <x v="2"/>
    <x v="1"/>
    <n v="0"/>
  </r>
  <r>
    <x v="2"/>
    <s v="Østdanmark"/>
    <x v="5"/>
    <x v="1"/>
    <n v="5130.0675922754808"/>
  </r>
  <r>
    <x v="2"/>
    <s v="Østdanmark"/>
    <x v="25"/>
    <x v="1"/>
    <n v="66904.631515926056"/>
  </r>
  <r>
    <x v="2"/>
    <s v="Østdanmark"/>
    <x v="24"/>
    <x v="1"/>
    <n v="449536.54854955326"/>
  </r>
  <r>
    <x v="2"/>
    <s v="Østdanmark"/>
    <x v="28"/>
    <x v="1"/>
    <n v="17028.9743688033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973359.07469549077"/>
  </r>
  <r>
    <x v="2"/>
    <s v="Østdanmark"/>
    <x v="29"/>
    <x v="1"/>
    <n v="77778.444140950829"/>
  </r>
  <r>
    <x v="2"/>
    <s v="Østdanmark"/>
    <x v="30"/>
    <x v="1"/>
    <n v="232890.00848399676"/>
  </r>
  <r>
    <x v="2"/>
    <s v="Østdanmark"/>
    <x v="31"/>
    <x v="1"/>
    <n v="729534.05645906925"/>
  </r>
  <r>
    <x v="2"/>
    <s v="Østdanmark"/>
    <x v="32"/>
    <x v="1"/>
    <n v="3515.9993902993874"/>
  </r>
  <r>
    <x v="2"/>
    <s v="Østdanmark"/>
    <x v="33"/>
    <x v="1"/>
    <n v="247769.39356957743"/>
  </r>
  <r>
    <x v="2"/>
    <s v="Østdanmark"/>
    <x v="0"/>
    <x v="2"/>
    <n v="16515.993687659306"/>
  </r>
  <r>
    <x v="2"/>
    <s v="Østdanmark"/>
    <x v="22"/>
    <x v="2"/>
    <n v="8685.8888472677336"/>
  </r>
  <r>
    <x v="2"/>
    <s v="Østdanmark"/>
    <x v="2"/>
    <x v="2"/>
    <n v="0"/>
  </r>
  <r>
    <x v="2"/>
    <s v="Østdanmark"/>
    <x v="5"/>
    <x v="2"/>
    <n v="724.66280069904622"/>
  </r>
  <r>
    <x v="2"/>
    <s v="Østdanmark"/>
    <x v="25"/>
    <x v="2"/>
    <n v="9450.8106924500589"/>
  </r>
  <r>
    <x v="2"/>
    <s v="Østdanmark"/>
    <x v="24"/>
    <x v="2"/>
    <n v="63394.503378227986"/>
  </r>
  <r>
    <x v="2"/>
    <s v="Østdanmark"/>
    <x v="28"/>
    <x v="2"/>
    <n v="2405.477907876000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494.70167152316"/>
  </r>
  <r>
    <x v="2"/>
    <s v="Østdanmark"/>
    <x v="29"/>
    <x v="2"/>
    <n v="0"/>
  </r>
  <r>
    <x v="2"/>
    <s v="Østdanmark"/>
    <x v="30"/>
    <x v="2"/>
    <n v="92711.316101913326"/>
  </r>
  <r>
    <x v="2"/>
    <s v="Østdanmark"/>
    <x v="31"/>
    <x v="2"/>
    <n v="290420.62798557343"/>
  </r>
  <r>
    <x v="2"/>
    <s v="Østdanmark"/>
    <x v="32"/>
    <x v="2"/>
    <n v="594.50530988460082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234294.536045786"/>
  </r>
  <r>
    <x v="3"/>
    <s v="Vestdanmark"/>
    <x v="34"/>
    <x v="1"/>
    <n v="235643.20056012695"/>
  </r>
  <r>
    <x v="3"/>
    <s v="Vestdanmark"/>
    <x v="35"/>
    <x v="1"/>
    <n v="897193.5214277351"/>
  </r>
  <r>
    <x v="3"/>
    <s v="Vestdanmark"/>
    <x v="36"/>
    <x v="1"/>
    <n v="2212209.4819686995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1213.6299194002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43211.74750682688"/>
  </r>
  <r>
    <x v="3"/>
    <s v="Østdanmark"/>
    <x v="34"/>
    <x v="1"/>
    <n v="72257.381235283217"/>
  </r>
  <r>
    <x v="3"/>
    <s v="Østdanmark"/>
    <x v="35"/>
    <x v="1"/>
    <n v="272470.87062579964"/>
  </r>
  <r>
    <x v="3"/>
    <s v="Østdanmark"/>
    <x v="36"/>
    <x v="1"/>
    <n v="646548.74657684658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96.99682560615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578132.94722959655"/>
  </r>
  <r>
    <x v="3"/>
    <s v="Vestdanmark"/>
    <x v="34"/>
    <x v="2"/>
    <n v="207773.55150751706"/>
  </r>
  <r>
    <x v="3"/>
    <s v="Vestdanmark"/>
    <x v="35"/>
    <x v="2"/>
    <n v="1315903.5397993135"/>
  </r>
  <r>
    <x v="3"/>
    <s v="Vestdanmark"/>
    <x v="36"/>
    <x v="2"/>
    <n v="2149322.179349890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37679.9542953518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18884.76999029241"/>
  </r>
  <r>
    <x v="3"/>
    <s v="Østdanmark"/>
    <x v="34"/>
    <x v="2"/>
    <n v="69114.43723327505"/>
  </r>
  <r>
    <x v="3"/>
    <s v="Østdanmark"/>
    <x v="35"/>
    <x v="2"/>
    <n v="437726.22620455944"/>
  </r>
  <r>
    <x v="3"/>
    <s v="Østdanmark"/>
    <x v="36"/>
    <x v="2"/>
    <n v="611742.9295767551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6699.1864551374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2624286.3778383415"/>
  </r>
  <r>
    <x v="5"/>
    <s v="Vestdanmark"/>
    <x v="15"/>
    <x v="1"/>
    <n v="1517032.048207267"/>
  </r>
  <r>
    <x v="5"/>
    <s v="Vestdanmark"/>
    <x v="16"/>
    <x v="1"/>
    <n v="1612.6002200520545"/>
  </r>
  <r>
    <x v="5"/>
    <s v="Vestdanmark"/>
    <x v="20"/>
    <x v="1"/>
    <n v="167730.1780268476"/>
  </r>
  <r>
    <x v="5"/>
    <s v="Vestdanmark"/>
    <x v="38"/>
    <x v="1"/>
    <n v="21322392.885014642"/>
  </r>
  <r>
    <x v="5"/>
    <s v="Vestdanmark"/>
    <x v="39"/>
    <x v="1"/>
    <n v="588433.36945369444"/>
  </r>
  <r>
    <x v="5"/>
    <s v="Vestdanmark"/>
    <x v="14"/>
    <x v="2"/>
    <n v="0"/>
  </r>
  <r>
    <x v="5"/>
    <s v="Vestdanmark"/>
    <x v="15"/>
    <x v="2"/>
    <n v="6874.4822418311569"/>
  </r>
  <r>
    <x v="5"/>
    <s v="Vestdanmark"/>
    <x v="16"/>
    <x v="2"/>
    <n v="561.84151705662089"/>
  </r>
  <r>
    <x v="5"/>
    <s v="Vestdanmark"/>
    <x v="20"/>
    <x v="2"/>
    <n v="21799.461540380005"/>
  </r>
  <r>
    <x v="5"/>
    <s v="Vestdanmark"/>
    <x v="38"/>
    <x v="2"/>
    <n v="176554.0416515274"/>
  </r>
  <r>
    <x v="5"/>
    <s v="Vestdanmark"/>
    <x v="39"/>
    <x v="2"/>
    <n v="1065538.79617805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380251.52538746473"/>
  </r>
  <r>
    <x v="5"/>
    <s v="Østdanmark"/>
    <x v="15"/>
    <x v="1"/>
    <n v="107821.55068064725"/>
  </r>
  <r>
    <x v="5"/>
    <s v="Østdanmark"/>
    <x v="16"/>
    <x v="1"/>
    <n v="135.34494123826798"/>
  </r>
  <r>
    <x v="5"/>
    <s v="Østdanmark"/>
    <x v="20"/>
    <x v="1"/>
    <n v="22506.567396310857"/>
  </r>
  <r>
    <x v="5"/>
    <s v="Østdanmark"/>
    <x v="38"/>
    <x v="1"/>
    <n v="3460535.4285508459"/>
  </r>
  <r>
    <x v="5"/>
    <s v="Østdanmark"/>
    <x v="39"/>
    <x v="1"/>
    <n v="341428.57128038822"/>
  </r>
  <r>
    <x v="5"/>
    <s v="Østdanmark"/>
    <x v="14"/>
    <x v="2"/>
    <n v="0"/>
  </r>
  <r>
    <x v="5"/>
    <s v="Østdanmark"/>
    <x v="15"/>
    <x v="2"/>
    <n v="488.59701831397138"/>
  </r>
  <r>
    <x v="5"/>
    <s v="Østdanmark"/>
    <x v="16"/>
    <x v="2"/>
    <n v="47.155151143904114"/>
  </r>
  <r>
    <x v="5"/>
    <s v="Østdanmark"/>
    <x v="20"/>
    <x v="2"/>
    <n v="3097.7085905225945"/>
  </r>
  <r>
    <x v="5"/>
    <s v="Østdanmark"/>
    <x v="38"/>
    <x v="2"/>
    <n v="49046.385600017013"/>
  </r>
  <r>
    <x v="5"/>
    <s v="Østdanmark"/>
    <x v="39"/>
    <x v="2"/>
    <n v="354450.69932080351"/>
  </r>
  <r>
    <x v="6"/>
    <s v="Vestdanmark"/>
    <x v="23"/>
    <x v="0"/>
    <n v="0"/>
  </r>
  <r>
    <x v="6"/>
    <s v="Vestdanmark"/>
    <x v="23"/>
    <x v="1"/>
    <n v="34221449.144391388"/>
  </r>
  <r>
    <x v="6"/>
    <s v="Vestdanmark"/>
    <x v="23"/>
    <x v="2"/>
    <n v="12953227.102583883"/>
  </r>
  <r>
    <x v="6"/>
    <s v="Østdanmark"/>
    <x v="23"/>
    <x v="0"/>
    <n v="0"/>
  </r>
  <r>
    <x v="6"/>
    <s v="Østdanmark"/>
    <x v="23"/>
    <x v="1"/>
    <n v="4363988.6497844672"/>
  </r>
  <r>
    <x v="6"/>
    <s v="Østdanmark"/>
    <x v="23"/>
    <x v="2"/>
    <n v="1737262.7267654187"/>
  </r>
  <r>
    <x v="7"/>
    <s v="Vestdanmark"/>
    <x v="40"/>
    <x v="0"/>
    <n v="485762.00237315823"/>
  </r>
  <r>
    <x v="7"/>
    <s v="Vestdanmark"/>
    <x v="40"/>
    <x v="1"/>
    <n v="736385.00175039668"/>
  </r>
  <r>
    <x v="7"/>
    <s v="Vestdanmark"/>
    <x v="40"/>
    <x v="2"/>
    <n v="649292.34846099082"/>
  </r>
  <r>
    <x v="7"/>
    <s v="Østdanmark"/>
    <x v="40"/>
    <x v="0"/>
    <n v="192563.22613808865"/>
  </r>
  <r>
    <x v="7"/>
    <s v="Østdanmark"/>
    <x v="40"/>
    <x v="1"/>
    <n v="225804.31636026004"/>
  </r>
  <r>
    <x v="7"/>
    <s v="Østdanmark"/>
    <x v="40"/>
    <x v="2"/>
    <n v="215982.6163539845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892.145975308638"/>
  </r>
  <r>
    <x v="0"/>
    <x v="2"/>
    <x v="1"/>
    <s v="OC6"/>
    <n v="0"/>
  </r>
  <r>
    <x v="0"/>
    <x v="3"/>
    <x v="1"/>
    <s v="OC6"/>
    <n v="73747.854024691362"/>
  </r>
  <r>
    <x v="0"/>
    <x v="4"/>
    <x v="1"/>
    <s v="OC6"/>
    <n v="0"/>
  </r>
  <r>
    <x v="0"/>
    <x v="0"/>
    <x v="1"/>
    <s v="OC12"/>
    <n v="0"/>
  </r>
  <r>
    <x v="0"/>
    <x v="1"/>
    <x v="1"/>
    <s v="OC12"/>
    <n v="52069.673876543202"/>
  </r>
  <r>
    <x v="0"/>
    <x v="2"/>
    <x v="1"/>
    <s v="OC12"/>
    <n v="0"/>
  </r>
  <r>
    <x v="0"/>
    <x v="3"/>
    <x v="1"/>
    <s v="OC12"/>
    <n v="59921.4372345679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725.0625185185199"/>
  </r>
  <r>
    <x v="0"/>
    <x v="2"/>
    <x v="2"/>
    <s v="OC6"/>
    <n v="0"/>
  </r>
  <r>
    <x v="0"/>
    <x v="3"/>
    <x v="2"/>
    <s v="OC6"/>
    <n v="131914.93748148147"/>
  </r>
  <r>
    <x v="0"/>
    <x v="4"/>
    <x v="2"/>
    <s v="OC6"/>
    <n v="0"/>
  </r>
  <r>
    <x v="0"/>
    <x v="0"/>
    <x v="2"/>
    <s v="OC12"/>
    <n v="0"/>
  </r>
  <r>
    <x v="0"/>
    <x v="1"/>
    <x v="2"/>
    <s v="OC12"/>
    <n v="6791.6965925925906"/>
  </r>
  <r>
    <x v="0"/>
    <x v="2"/>
    <x v="2"/>
    <s v="OC12"/>
    <n v="0"/>
  </r>
  <r>
    <x v="0"/>
    <x v="3"/>
    <x v="2"/>
    <s v="OC12"/>
    <n v="105199.41451851852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59.387358024691"/>
  </r>
  <r>
    <x v="1"/>
    <x v="2"/>
    <x v="1"/>
    <s v="OC6"/>
    <n v="0"/>
  </r>
  <r>
    <x v="1"/>
    <x v="3"/>
    <x v="1"/>
    <s v="OC6"/>
    <n v="11200.612641975309"/>
  </r>
  <r>
    <x v="1"/>
    <x v="4"/>
    <x v="1"/>
    <s v="OC6"/>
    <n v="0"/>
  </r>
  <r>
    <x v="1"/>
    <x v="0"/>
    <x v="1"/>
    <s v="OC12"/>
    <n v="0"/>
  </r>
  <r>
    <x v="1"/>
    <x v="1"/>
    <x v="1"/>
    <s v="OC12"/>
    <n v="7908.1927901234558"/>
  </r>
  <r>
    <x v="1"/>
    <x v="2"/>
    <x v="1"/>
    <s v="OC12"/>
    <n v="0"/>
  </r>
  <r>
    <x v="1"/>
    <x v="3"/>
    <x v="1"/>
    <s v="OC12"/>
    <n v="9100.69609876543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325.1374814814808"/>
  </r>
  <r>
    <x v="1"/>
    <x v="2"/>
    <x v="2"/>
    <s v="OC6"/>
    <n v="0"/>
  </r>
  <r>
    <x v="1"/>
    <x v="3"/>
    <x v="2"/>
    <s v="OC6"/>
    <n v="20034.862518518519"/>
  </r>
  <r>
    <x v="1"/>
    <x v="4"/>
    <x v="2"/>
    <s v="OC6"/>
    <n v="0"/>
  </r>
  <r>
    <x v="1"/>
    <x v="0"/>
    <x v="2"/>
    <s v="OC12"/>
    <n v="0"/>
  </r>
  <r>
    <x v="1"/>
    <x v="1"/>
    <x v="2"/>
    <s v="OC12"/>
    <n v="1031.5034074074065"/>
  </r>
  <r>
    <x v="1"/>
    <x v="2"/>
    <x v="2"/>
    <s v="OC12"/>
    <n v="0"/>
  </r>
  <r>
    <x v="1"/>
    <x v="3"/>
    <x v="2"/>
    <s v="OC12"/>
    <n v="15977.38548148148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4698307.4709618408"/>
  </r>
  <r>
    <x v="1"/>
    <x v="0"/>
    <x v="1"/>
    <n v="545577.01129372371"/>
  </r>
  <r>
    <x v="2"/>
    <x v="0"/>
    <x v="1"/>
    <n v="736385.00175039668"/>
  </r>
  <r>
    <x v="3"/>
    <x v="0"/>
    <x v="1"/>
    <n v="23233296.600181103"/>
  </r>
  <r>
    <x v="4"/>
    <x v="0"/>
    <x v="1"/>
    <n v="318920.65280775877"/>
  </r>
  <r>
    <x v="5"/>
    <x v="0"/>
    <x v="1"/>
    <n v="2537122.9309529141"/>
  </r>
  <r>
    <x v="6"/>
    <x v="0"/>
    <x v="1"/>
    <n v="2891451.8691946529"/>
  </r>
  <r>
    <x v="7"/>
    <x v="0"/>
    <x v="1"/>
    <n v="4171283.8969927602"/>
  </r>
  <r>
    <x v="8"/>
    <x v="0"/>
    <x v="1"/>
    <n v="488405.10801459721"/>
  </r>
  <r>
    <x v="9"/>
    <x v="0"/>
    <x v="1"/>
    <n v="1037736.7550566321"/>
  </r>
  <r>
    <x v="10"/>
    <x v="0"/>
    <x v="1"/>
    <n v="749561.48395824642"/>
  </r>
  <r>
    <x v="11"/>
    <x v="0"/>
    <x v="1"/>
    <n v="682243.34675238712"/>
  </r>
  <r>
    <x v="12"/>
    <x v="0"/>
    <x v="1"/>
    <n v="897193.5214277351"/>
  </r>
  <r>
    <x v="0"/>
    <x v="0"/>
    <x v="2"/>
    <n v="482048.93054039421"/>
  </r>
  <r>
    <x v="1"/>
    <x v="0"/>
    <x v="2"/>
    <n v="669028.68943321821"/>
  </r>
  <r>
    <x v="2"/>
    <x v="0"/>
    <x v="2"/>
    <n v="649292.34846099082"/>
  </r>
  <r>
    <x v="3"/>
    <x v="0"/>
    <x v="2"/>
    <n v="34445105.835390486"/>
  </r>
  <r>
    <x v="4"/>
    <x v="0"/>
    <x v="2"/>
    <n v="301754.85239496577"/>
  </r>
  <r>
    <x v="5"/>
    <x v="0"/>
    <x v="2"/>
    <n v="2337126.3206842514"/>
  </r>
  <r>
    <x v="6"/>
    <x v="0"/>
    <x v="2"/>
    <n v="2749867.8949207771"/>
  </r>
  <r>
    <x v="7"/>
    <x v="0"/>
    <x v="2"/>
    <n v="513235.88893477799"/>
  </r>
  <r>
    <x v="8"/>
    <x v="0"/>
    <x v="2"/>
    <n v="774671.670329666"/>
  </r>
  <r>
    <x v="9"/>
    <x v="0"/>
    <x v="2"/>
    <n v="90697.791194463221"/>
  </r>
  <r>
    <x v="10"/>
    <x v="0"/>
    <x v="2"/>
    <n v="62819.759709472717"/>
  </r>
  <r>
    <x v="11"/>
    <x v="0"/>
    <x v="2"/>
    <n v="386762.96576702269"/>
  </r>
  <r>
    <x v="12"/>
    <x v="0"/>
    <x v="2"/>
    <n v="1315903.539799313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426697.7169863379"/>
  </r>
  <r>
    <x v="1"/>
    <x v="1"/>
    <x v="1"/>
    <n v="165990.97004737973"/>
  </r>
  <r>
    <x v="2"/>
    <x v="1"/>
    <x v="1"/>
    <n v="225804.31636026004"/>
  </r>
  <r>
    <x v="3"/>
    <x v="1"/>
    <x v="1"/>
    <n v="6569596.6515662586"/>
  </r>
  <r>
    <x v="4"/>
    <x v="1"/>
    <x v="1"/>
    <n v="98055.31431785204"/>
  </r>
  <r>
    <x v="5"/>
    <x v="1"/>
    <x v="1"/>
    <n v="757571.37538443948"/>
  </r>
  <r>
    <x v="6"/>
    <x v="1"/>
    <x v="1"/>
    <n v="898519.08431343141"/>
  </r>
  <r>
    <x v="7"/>
    <x v="1"/>
    <x v="1"/>
    <n v="1224051.0749297491"/>
  </r>
  <r>
    <x v="8"/>
    <x v="1"/>
    <x v="1"/>
    <n v="150209.37360134395"/>
  </r>
  <r>
    <x v="9"/>
    <x v="1"/>
    <x v="1"/>
    <n v="311483.30240974069"/>
  </r>
  <r>
    <x v="10"/>
    <x v="1"/>
    <x v="1"/>
    <n v="239925.67708956901"/>
  </r>
  <r>
    <x v="11"/>
    <x v="1"/>
    <x v="1"/>
    <n v="205340.3536719332"/>
  </r>
  <r>
    <x v="12"/>
    <x v="1"/>
    <x v="1"/>
    <n v="272470.87062579964"/>
  </r>
  <r>
    <x v="0"/>
    <x v="1"/>
    <x v="2"/>
    <n v="160350.24819795735"/>
  </r>
  <r>
    <x v="1"/>
    <x v="1"/>
    <x v="2"/>
    <n v="222547.77389902543"/>
  </r>
  <r>
    <x v="2"/>
    <x v="1"/>
    <x v="2"/>
    <n v="215982.61635398451"/>
  </r>
  <r>
    <x v="3"/>
    <x v="1"/>
    <x v="2"/>
    <n v="11397047.281261299"/>
  </r>
  <r>
    <x v="4"/>
    <x v="1"/>
    <x v="2"/>
    <n v="100376.66803290648"/>
  </r>
  <r>
    <x v="5"/>
    <x v="1"/>
    <x v="2"/>
    <n v="777428.93272593827"/>
  </r>
  <r>
    <x v="6"/>
    <x v="1"/>
    <x v="2"/>
    <n v="914724.5674164847"/>
  </r>
  <r>
    <x v="7"/>
    <x v="1"/>
    <x v="2"/>
    <n v="170724.37456200234"/>
  </r>
  <r>
    <x v="8"/>
    <x v="1"/>
    <x v="2"/>
    <n v="257689.18202978774"/>
  </r>
  <r>
    <x v="9"/>
    <x v="1"/>
    <x v="2"/>
    <n v="30169.993972883625"/>
  </r>
  <r>
    <x v="10"/>
    <x v="1"/>
    <x v="2"/>
    <n v="20896.559297118682"/>
  </r>
  <r>
    <x v="11"/>
    <x v="1"/>
    <x v="2"/>
    <n v="128654.0299653736"/>
  </r>
  <r>
    <x v="12"/>
    <x v="1"/>
    <x v="2"/>
    <n v="437726.226204559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53518.20843543066"/>
    <n v="3880162.6411323692"/>
    <n v="1360029.4887452812"/>
    <n v="1360029.4887452812"/>
  </r>
  <r>
    <x v="0"/>
    <x v="1"/>
    <x v="1"/>
    <s v="Konventionel"/>
    <x v="0"/>
    <s v="Halm"/>
    <n v="121069.71545865215"/>
    <n v="467329.10167039739"/>
    <n v="148988.75846218187"/>
    <n v="148988.75846218187"/>
  </r>
  <r>
    <x v="0"/>
    <x v="2"/>
    <x v="1"/>
    <s v="Konventionel"/>
    <x v="0"/>
    <s v="Halm"/>
    <n v="143784.0142759982"/>
    <n v="632649.66281439213"/>
    <n v="362862.00504546956"/>
    <n v="362862.00504546956"/>
  </r>
  <r>
    <x v="0"/>
    <x v="3"/>
    <x v="1"/>
    <s v="Konventionel"/>
    <x v="0"/>
    <s v="Græs"/>
    <n v="285623.05173795577"/>
    <n v="14172615.827237366"/>
    <n v="0"/>
    <n v="14172615.827237366"/>
  </r>
  <r>
    <x v="0"/>
    <x v="4"/>
    <x v="1"/>
    <s v="Konventionel"/>
    <x v="0"/>
    <s v="Grøntsager"/>
    <n v="11928.206902902208"/>
    <n v="247510.29323522083"/>
    <n v="0"/>
    <n v="247510.29323522083"/>
  </r>
  <r>
    <x v="0"/>
    <x v="5"/>
    <x v="1"/>
    <s v="Konventionel"/>
    <x v="0"/>
    <s v="Kartofler"/>
    <n v="50171.146455460723"/>
    <n v="2130813.7174496464"/>
    <n v="0"/>
    <n v="2130813.7174496464"/>
  </r>
  <r>
    <x v="0"/>
    <x v="6"/>
    <x v="1"/>
    <s v="Konventionel"/>
    <x v="0"/>
    <s v="Roer"/>
    <n v="30855.4450029535"/>
    <n v="2507120.0387474457"/>
    <n v="0"/>
    <n v="2507120.0387474457"/>
  </r>
  <r>
    <x v="0"/>
    <x v="7"/>
    <x v="1"/>
    <s v="Konventionel"/>
    <x v="0"/>
    <s v="Majs"/>
    <n v="74922.962243622984"/>
    <n v="3334821.0494636595"/>
    <n v="0"/>
    <n v="3334821.0494636595"/>
  </r>
  <r>
    <x v="0"/>
    <x v="8"/>
    <x v="1"/>
    <s v="Konventionel"/>
    <x v="0"/>
    <s v="Frugt"/>
    <n v="49850.106336440978"/>
    <n v="423227.40279638395"/>
    <n v="0"/>
    <n v="423227.40279638395"/>
  </r>
  <r>
    <x v="0"/>
    <x v="9"/>
    <x v="1"/>
    <s v="Konventionel"/>
    <x v="0"/>
    <s v="Øvrige"/>
    <n v="28800.386873616728"/>
    <n v="858134.70030019432"/>
    <n v="0"/>
    <n v="858134.70030019432"/>
  </r>
  <r>
    <x v="0"/>
    <x v="10"/>
    <x v="1"/>
    <s v="Konventionel"/>
    <x v="0"/>
    <s v="Halm"/>
    <n v="41596.560342098521"/>
    <n v="594367.45880212216"/>
    <n v="106035.94638659338"/>
    <n v="106035.94638659338"/>
  </r>
  <r>
    <x v="0"/>
    <x v="11"/>
    <x v="1"/>
    <s v="Konventionel"/>
    <x v="0"/>
    <s v="Juletræer"/>
    <n v="11437.918624561291"/>
    <n v="571895.93122806458"/>
    <n v="0"/>
    <n v="571895.93122806458"/>
  </r>
  <r>
    <x v="0"/>
    <x v="12"/>
    <x v="1"/>
    <s v="Konventionel"/>
    <x v="0"/>
    <s v="Pil &amp; poppel"/>
    <n v="31145.785633214087"/>
    <n v="759653.30812717287"/>
    <n v="0"/>
    <n v="759653.30812717287"/>
  </r>
  <r>
    <x v="0"/>
    <x v="13"/>
    <x v="1"/>
    <s v="Konventionel"/>
    <x v="0"/>
    <s v="Græs"/>
    <n v="72877.440134040429"/>
    <n v="1004979.8994484176"/>
    <n v="0"/>
    <n v="1004979.8994484176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Bælgsæd"/>
    <n v="0"/>
    <n v="0"/>
    <n v="0"/>
    <n v="0"/>
  </r>
  <r>
    <x v="0"/>
    <x v="2"/>
    <x v="2"/>
    <s v="Konventionel"/>
    <x v="0"/>
    <s v="Raps"/>
    <n v="0"/>
    <n v="0"/>
    <n v="0"/>
    <n v="0"/>
  </r>
  <r>
    <x v="0"/>
    <x v="3"/>
    <x v="2"/>
    <s v="Konventionel"/>
    <x v="0"/>
    <s v="Græs"/>
    <n v="0"/>
    <n v="0"/>
    <n v="0"/>
    <n v="0"/>
  </r>
  <r>
    <x v="0"/>
    <x v="4"/>
    <x v="2"/>
    <s v="Konventionel"/>
    <x v="0"/>
    <s v="Grøntsager"/>
    <n v="0"/>
    <n v="0"/>
    <n v="0"/>
    <n v="0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0"/>
    <n v="0"/>
    <n v="0"/>
    <n v="0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0"/>
    <n v="0"/>
    <n v="0"/>
    <n v="0"/>
  </r>
  <r>
    <x v="0"/>
    <x v="12"/>
    <x v="2"/>
    <s v="Konventionel"/>
    <x v="0"/>
    <s v="Pil &amp; poppel"/>
    <n v="0"/>
    <n v="0"/>
    <n v="0"/>
    <n v="0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70773.67631420336"/>
    <n v="332402.72554491891"/>
    <n v="116509.93803405669"/>
    <n v="116509.93803405669"/>
  </r>
  <r>
    <x v="0"/>
    <x v="1"/>
    <x v="1"/>
    <s v="Økologisk"/>
    <x v="0"/>
    <s v="Halm"/>
    <n v="15480.15715245056"/>
    <n v="34059.441766821721"/>
    <n v="10858.459112894554"/>
    <n v="10858.459112894554"/>
  </r>
  <r>
    <x v="0"/>
    <x v="2"/>
    <x v="1"/>
    <s v="Økologisk"/>
    <x v="0"/>
    <s v="Halm"/>
    <n v="18384.441795130875"/>
    <n v="44490.349144216721"/>
    <n v="25517.846992640829"/>
    <n v="25517.846992640829"/>
  </r>
  <r>
    <x v="0"/>
    <x v="3"/>
    <x v="1"/>
    <s v="Økologisk"/>
    <x v="0"/>
    <s v="Græs"/>
    <n v="36520.195909571652"/>
    <n v="1413463.0544056976"/>
    <n v="0"/>
    <n v="1413463.0544056976"/>
  </r>
  <r>
    <x v="0"/>
    <x v="4"/>
    <x v="1"/>
    <s v="Økologisk"/>
    <x v="0"/>
    <s v="Grøntsager"/>
    <n v="1525.1585972954053"/>
    <n v="18038.813309511406"/>
    <n v="0"/>
    <n v="18038.813309511406"/>
  </r>
  <r>
    <x v="0"/>
    <x v="5"/>
    <x v="1"/>
    <s v="Økologisk"/>
    <x v="0"/>
    <s v="Kartofler"/>
    <n v="6414.9587591488944"/>
    <n v="155295.96908477385"/>
    <n v="0"/>
    <n v="155295.96908477385"/>
  </r>
  <r>
    <x v="0"/>
    <x v="6"/>
    <x v="1"/>
    <s v="Økologisk"/>
    <x v="0"/>
    <s v="Roer"/>
    <n v="3945.2239219777639"/>
    <n v="182721.57384792177"/>
    <n v="0"/>
    <n v="182721.57384792177"/>
  </r>
  <r>
    <x v="0"/>
    <x v="7"/>
    <x v="1"/>
    <s v="Økologisk"/>
    <x v="0"/>
    <s v="Majs"/>
    <n v="9579.7634070966851"/>
    <n v="353908.07347739505"/>
    <n v="0"/>
    <n v="353908.07347739505"/>
  </r>
  <r>
    <x v="0"/>
    <x v="8"/>
    <x v="1"/>
    <s v="Økologisk"/>
    <x v="0"/>
    <s v="Frugt"/>
    <n v="6373.9100833851826"/>
    <n v="30845.263066525917"/>
    <n v="0"/>
    <n v="30845.263066525917"/>
  </r>
  <r>
    <x v="0"/>
    <x v="9"/>
    <x v="1"/>
    <s v="Økologisk"/>
    <x v="0"/>
    <s v="Øvrige"/>
    <n v="3682.4610776195564"/>
    <n v="62541.769276712883"/>
    <n v="0"/>
    <n v="62541.769276712883"/>
  </r>
  <r>
    <x v="0"/>
    <x v="10"/>
    <x v="1"/>
    <s v="Økologisk"/>
    <x v="0"/>
    <s v="Halm"/>
    <n v="5318.5991943376657"/>
    <n v="43318.132294364288"/>
    <n v="7728.0125038974802"/>
    <n v="7728.0125038974802"/>
  </r>
  <r>
    <x v="0"/>
    <x v="11"/>
    <x v="1"/>
    <s v="Økologisk"/>
    <x v="0"/>
    <s v="Juletræer"/>
    <n v="1462.4695955911445"/>
    <n v="41680.383474347618"/>
    <n v="0"/>
    <n v="41680.383474347618"/>
  </r>
  <r>
    <x v="0"/>
    <x v="12"/>
    <x v="1"/>
    <s v="Økologisk"/>
    <x v="0"/>
    <s v="Pil &amp; poppel"/>
    <n v="3982.3473146209913"/>
    <n v="55364.340715462567"/>
    <n v="0"/>
    <n v="55364.340715462567"/>
  </r>
  <r>
    <x v="0"/>
    <x v="13"/>
    <x v="1"/>
    <s v="Økologisk"/>
    <x v="0"/>
    <s v="Græs"/>
    <n v="9318.2198526644916"/>
    <n v="128498.25176824334"/>
    <n v="0"/>
    <n v="128498.25176824334"/>
  </r>
  <r>
    <x v="0"/>
    <x v="0"/>
    <x v="2"/>
    <s v="Økologisk"/>
    <x v="0"/>
    <s v="Halm"/>
    <n v="83959.75199188129"/>
    <n v="394333.76718026889"/>
    <n v="157339.56580605835"/>
    <n v="157339.56580605835"/>
  </r>
  <r>
    <x v="0"/>
    <x v="1"/>
    <x v="2"/>
    <s v="Økologisk"/>
    <x v="0"/>
    <s v="Halm"/>
    <n v="248745.6103160124"/>
    <n v="547290.09181729052"/>
    <n v="198620.39669998465"/>
    <n v="198620.39669998465"/>
  </r>
  <r>
    <x v="0"/>
    <x v="2"/>
    <x v="2"/>
    <s v="Økologisk"/>
    <x v="0"/>
    <s v="Halm"/>
    <n v="219481.42086706977"/>
    <n v="531145.03849830886"/>
    <n v="346790.28977475752"/>
    <n v="346790.28977475752"/>
  </r>
  <r>
    <x v="0"/>
    <x v="3"/>
    <x v="2"/>
    <s v="Økologisk"/>
    <x v="0"/>
    <s v="Græs"/>
    <n v="512123.31535649608"/>
    <n v="19821015.948231682"/>
    <n v="0"/>
    <n v="19821015.948231682"/>
  </r>
  <r>
    <x v="0"/>
    <x v="4"/>
    <x v="2"/>
    <s v="Økologisk"/>
    <x v="0"/>
    <s v="Grøntsager"/>
    <n v="18776.293034162631"/>
    <n v="222076.60586155849"/>
    <n v="0"/>
    <n v="222076.60586155849"/>
  </r>
  <r>
    <x v="0"/>
    <x v="5"/>
    <x v="2"/>
    <s v="Økologisk"/>
    <x v="0"/>
    <s v="Kartofler"/>
    <n v="78974.832963235996"/>
    <n v="1911855.349162224"/>
    <n v="0"/>
    <n v="1911855.349162224"/>
  </r>
  <r>
    <x v="0"/>
    <x v="6"/>
    <x v="2"/>
    <s v="Økologisk"/>
    <x v="0"/>
    <s v="Roer"/>
    <n v="48569.821247314576"/>
    <n v="2249493.1480017449"/>
    <n v="0"/>
    <n v="2249493.1480017449"/>
  </r>
  <r>
    <x v="0"/>
    <x v="7"/>
    <x v="2"/>
    <s v="Økologisk"/>
    <x v="0"/>
    <s v="Majs"/>
    <n v="11364.600536362441"/>
    <n v="419845.84699499852"/>
    <n v="0"/>
    <n v="419845.84699499852"/>
  </r>
  <r>
    <x v="0"/>
    <x v="8"/>
    <x v="2"/>
    <s v="Økologisk"/>
    <x v="0"/>
    <s v="Frugt"/>
    <n v="130950.74461627769"/>
    <n v="633709.93842155254"/>
    <n v="0"/>
    <n v="633709.93842155254"/>
  </r>
  <r>
    <x v="0"/>
    <x v="9"/>
    <x v="2"/>
    <s v="Økologisk"/>
    <x v="0"/>
    <s v="Øvrige"/>
    <n v="4368.5524745680859"/>
    <n v="74194.13136452355"/>
    <n v="0"/>
    <n v="74194.13136452355"/>
  </r>
  <r>
    <x v="0"/>
    <x v="10"/>
    <x v="2"/>
    <s v="Økologisk"/>
    <x v="0"/>
    <s v="Halm"/>
    <n v="6309.5248481700473"/>
    <n v="51388.875548018324"/>
    <n v="10436.209583697455"/>
    <n v="10436.209583697455"/>
  </r>
  <r>
    <x v="0"/>
    <x v="11"/>
    <x v="2"/>
    <s v="Økologisk"/>
    <x v="0"/>
    <s v="Juletræer"/>
    <n v="11101.275121357427"/>
    <n v="316386.3409586866"/>
    <n v="0"/>
    <n v="316386.3409586866"/>
  </r>
  <r>
    <x v="0"/>
    <x v="12"/>
    <x v="2"/>
    <s v="Økologisk"/>
    <x v="0"/>
    <s v="Pil &amp; poppel"/>
    <n v="77429.401129434642"/>
    <n v="1076457.5278970182"/>
    <n v="0"/>
    <n v="1076457.5278970182"/>
  </r>
  <r>
    <x v="0"/>
    <x v="13"/>
    <x v="2"/>
    <s v="Økologisk"/>
    <x v="0"/>
    <s v="Græs"/>
    <n v="11054.327944788796"/>
    <n v="152439.18235863751"/>
    <n v="0"/>
    <n v="152439.18235863751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196.260693157685"/>
    <n v="94182.944950842444"/>
    <n v="33011.910663785355"/>
    <n v="33011.910663785355"/>
  </r>
  <r>
    <x v="0"/>
    <x v="1"/>
    <x v="1"/>
    <s v="Konventionel"/>
    <x v="1"/>
    <s v="Halm"/>
    <n v="959.79052447193897"/>
    <n v="4445.7497093540214"/>
    <n v="1417.345350980137"/>
    <n v="1417.345350980137"/>
  </r>
  <r>
    <x v="0"/>
    <x v="2"/>
    <x v="1"/>
    <s v="Konventionel"/>
    <x v="1"/>
    <s v="Halm"/>
    <n v="1027.7273757818732"/>
    <n v="5426.4005441282898"/>
    <n v="3112.3617024670689"/>
    <n v="3112.3617024670689"/>
  </r>
  <r>
    <x v="0"/>
    <x v="3"/>
    <x v="1"/>
    <s v="Konventionel"/>
    <x v="1"/>
    <s v="Græs"/>
    <n v="9484.230989471238"/>
    <n v="564729.05003707542"/>
    <n v="0"/>
    <n v="564729.05003707542"/>
  </r>
  <r>
    <x v="0"/>
    <x v="4"/>
    <x v="1"/>
    <s v="Konventionel"/>
    <x v="1"/>
    <s v="Grøntsager"/>
    <n v="44.358105077588014"/>
    <n v="1104.5168164319416"/>
    <n v="0"/>
    <n v="1104.5168164319416"/>
  </r>
  <r>
    <x v="0"/>
    <x v="5"/>
    <x v="1"/>
    <s v="Konventionel"/>
    <x v="1"/>
    <s v="Kartofler"/>
    <n v="700.29950715558721"/>
    <n v="35690.81996151046"/>
    <n v="0"/>
    <n v="35690.81996151046"/>
  </r>
  <r>
    <x v="0"/>
    <x v="6"/>
    <x v="1"/>
    <s v="Konventionel"/>
    <x v="1"/>
    <s v="Roer"/>
    <n v="18.37258126009214"/>
    <n v="1791.4089381482079"/>
    <n v="0"/>
    <n v="1791.4089381482079"/>
  </r>
  <r>
    <x v="0"/>
    <x v="7"/>
    <x v="1"/>
    <s v="Konventionel"/>
    <x v="1"/>
    <s v="Majs"/>
    <n v="2371.6241464994846"/>
    <n v="126673.18891283049"/>
    <n v="0"/>
    <n v="126673.18891283049"/>
  </r>
  <r>
    <x v="0"/>
    <x v="8"/>
    <x v="1"/>
    <s v="Konventionel"/>
    <x v="1"/>
    <s v="Frugt"/>
    <n v="40.402656114127915"/>
    <n v="411.62226049073524"/>
    <n v="0"/>
    <n v="411.62226049073524"/>
  </r>
  <r>
    <x v="0"/>
    <x v="9"/>
    <x v="1"/>
    <s v="Konventionel"/>
    <x v="1"/>
    <s v="Øvrige"/>
    <n v="714.55739207378303"/>
    <n v="25549.094025104845"/>
    <n v="0"/>
    <n v="25549.094025104845"/>
  </r>
  <r>
    <x v="0"/>
    <x v="10"/>
    <x v="1"/>
    <s v="Konventionel"/>
    <x v="1"/>
    <s v="Halm"/>
    <n v="1763.7383660176956"/>
    <n v="30242.17431384448"/>
    <n v="5395.2441821422535"/>
    <n v="5395.2441821422535"/>
  </r>
  <r>
    <x v="0"/>
    <x v="11"/>
    <x v="1"/>
    <s v="Konventionel"/>
    <x v="1"/>
    <s v="Juletræer"/>
    <n v="202.64130113199909"/>
    <n v="12158.478067919947"/>
    <n v="0"/>
    <n v="12158.478067919947"/>
  </r>
  <r>
    <x v="0"/>
    <x v="12"/>
    <x v="1"/>
    <s v="Konventionel"/>
    <x v="1"/>
    <s v="Pil &amp; poppel"/>
    <n v="332.81173876457098"/>
    <n v="9740.8313784752481"/>
    <n v="0"/>
    <n v="9740.8313784752481"/>
  </r>
  <r>
    <x v="0"/>
    <x v="13"/>
    <x v="1"/>
    <s v="Konventionel"/>
    <x v="1"/>
    <s v="Græs"/>
    <n v="30452.01387923324"/>
    <n v="503919.92567355168"/>
    <n v="0"/>
    <n v="503919.92567355168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431.5708465431917"/>
    <n v="8068.3905539512916"/>
    <n v="2828.0384342047182"/>
    <n v="2828.0384342047182"/>
  </r>
  <r>
    <x v="0"/>
    <x v="1"/>
    <x v="1"/>
    <s v="Økologisk"/>
    <x v="1"/>
    <s v="Halm"/>
    <n v="122.72026985421287"/>
    <n v="324.01096527988705"/>
    <n v="103.29763601846187"/>
    <n v="103.29763601846187"/>
  </r>
  <r>
    <x v="0"/>
    <x v="2"/>
    <x v="1"/>
    <s v="Økologisk"/>
    <x v="1"/>
    <s v="Halm"/>
    <n v="131.4067785383736"/>
    <n v="381.60528487543701"/>
    <n v="218.87320415196874"/>
    <n v="218.87320415196874"/>
  </r>
  <r>
    <x v="0"/>
    <x v="3"/>
    <x v="1"/>
    <s v="Økologisk"/>
    <x v="1"/>
    <s v="Græs"/>
    <n v="1212.6681361310182"/>
    <n v="56321.546968272574"/>
    <n v="0"/>
    <n v="56321.546968272574"/>
  </r>
  <r>
    <x v="0"/>
    <x v="4"/>
    <x v="1"/>
    <s v="Økologisk"/>
    <x v="1"/>
    <s v="Grøntsager"/>
    <n v="5.6716944859797733"/>
    <n v="80.498359839510925"/>
    <n v="0"/>
    <n v="80.498359839510925"/>
  </r>
  <r>
    <x v="0"/>
    <x v="5"/>
    <x v="1"/>
    <s v="Økologisk"/>
    <x v="1"/>
    <s v="Kartofler"/>
    <n v="89.54135543710359"/>
    <n v="2601.184903195996"/>
    <n v="0"/>
    <n v="2601.184903195996"/>
  </r>
  <r>
    <x v="0"/>
    <x v="6"/>
    <x v="1"/>
    <s v="Økologisk"/>
    <x v="1"/>
    <s v="Roer"/>
    <n v="2.3491460612173207"/>
    <n v="130.55978793389087"/>
    <n v="0"/>
    <n v="130.55978793389087"/>
  </r>
  <r>
    <x v="0"/>
    <x v="7"/>
    <x v="1"/>
    <s v="Økologisk"/>
    <x v="1"/>
    <s v="Majs"/>
    <n v="303.23945468341958"/>
    <n v="13443.199375447171"/>
    <n v="0"/>
    <n v="13443.199375447171"/>
  </r>
  <r>
    <x v="0"/>
    <x v="8"/>
    <x v="1"/>
    <s v="Økologisk"/>
    <x v="1"/>
    <s v="Frugt"/>
    <n v="5.1659447918395278"/>
    <n v="29.99946795737883"/>
    <n v="0"/>
    <n v="29.99946795737883"/>
  </r>
  <r>
    <x v="0"/>
    <x v="9"/>
    <x v="1"/>
    <s v="Økologisk"/>
    <x v="1"/>
    <s v="Øvrige"/>
    <n v="91.364390193228076"/>
    <n v="1862.0451348584029"/>
    <n v="0"/>
    <n v="1862.0451348584029"/>
  </r>
  <r>
    <x v="0"/>
    <x v="10"/>
    <x v="1"/>
    <s v="Økologisk"/>
    <x v="1"/>
    <s v="Halm"/>
    <n v="225.51425827943592"/>
    <n v="2204.0818157113808"/>
    <n v="393.21113190391725"/>
    <n v="393.21113190391725"/>
  </r>
  <r>
    <x v="0"/>
    <x v="11"/>
    <x v="1"/>
    <s v="Økologisk"/>
    <x v="1"/>
    <s v="Juletræer"/>
    <n v="25.910023619174421"/>
    <n v="886.12280777576507"/>
    <n v="0"/>
    <n v="886.12280777576507"/>
  </r>
  <r>
    <x v="0"/>
    <x v="12"/>
    <x v="1"/>
    <s v="Økologisk"/>
    <x v="1"/>
    <s v="Pil &amp; poppel"/>
    <n v="42.553812889858399"/>
    <n v="709.92214674788158"/>
    <n v="0"/>
    <n v="709.92214674788158"/>
  </r>
  <r>
    <x v="0"/>
    <x v="13"/>
    <x v="1"/>
    <s v="Økologisk"/>
    <x v="1"/>
    <s v="Græs"/>
    <n v="3893.6406075896812"/>
    <n v="64431.964774394051"/>
    <n v="0"/>
    <n v="64431.96477439405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8725.0625185185199"/>
    <n v="144382.33455644446"/>
    <n v="0"/>
    <n v="144382.3345564444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659.6634285023883"/>
    <n v="55543.93688732243"/>
    <n v="19468.614868607579"/>
    <n v="19468.614868607579"/>
  </r>
  <r>
    <x v="0"/>
    <x v="1"/>
    <x v="1"/>
    <s v="Konventionel"/>
    <x v="2"/>
    <s v="Halm"/>
    <n v="325.87901868990201"/>
    <n v="1761.0502170002303"/>
    <n v="561.43879010015519"/>
    <n v="561.43879010015519"/>
  </r>
  <r>
    <x v="0"/>
    <x v="2"/>
    <x v="1"/>
    <s v="Konventionel"/>
    <x v="2"/>
    <s v="Halm"/>
    <n v="421.99857265679589"/>
    <n v="2599.5112075658631"/>
    <n v="1490.973447641361"/>
    <n v="1490.973447641361"/>
  </r>
  <r>
    <x v="0"/>
    <x v="3"/>
    <x v="1"/>
    <s v="Konventionel"/>
    <x v="2"/>
    <s v="Græs"/>
    <n v="9732.6192199682846"/>
    <n v="676105.59197275678"/>
    <n v="0"/>
    <n v="676105.59197275678"/>
  </r>
  <r>
    <x v="0"/>
    <x v="4"/>
    <x v="1"/>
    <s v="Konventionel"/>
    <x v="2"/>
    <s v="Grøntsager"/>
    <n v="11.31234505051532"/>
    <n v="328.62362371747008"/>
    <n v="0"/>
    <n v="328.62362371747008"/>
  </r>
  <r>
    <x v="0"/>
    <x v="5"/>
    <x v="1"/>
    <s v="Konventionel"/>
    <x v="2"/>
    <s v="Kartofler"/>
    <n v="598.76574080415071"/>
    <n v="35602.167418036428"/>
    <n v="0"/>
    <n v="35602.167418036428"/>
  </r>
  <r>
    <x v="0"/>
    <x v="6"/>
    <x v="1"/>
    <s v="Konventionel"/>
    <x v="2"/>
    <s v="Roer"/>
    <n v="6.4750902601840021"/>
    <n v="736.5753421943042"/>
    <n v="0"/>
    <n v="736.5753421943042"/>
  </r>
  <r>
    <x v="0"/>
    <x v="7"/>
    <x v="1"/>
    <s v="Konventionel"/>
    <x v="2"/>
    <s v="Majs"/>
    <n v="805.2408623097682"/>
    <n v="50177.779093970894"/>
    <n v="0"/>
    <n v="50177.779093970894"/>
  </r>
  <r>
    <x v="0"/>
    <x v="8"/>
    <x v="1"/>
    <s v="Konventionel"/>
    <x v="2"/>
    <s v="Frugt"/>
    <n v="23.075756148004398"/>
    <n v="274.27843757518031"/>
    <n v="0"/>
    <n v="274.27843757518031"/>
  </r>
  <r>
    <x v="0"/>
    <x v="9"/>
    <x v="1"/>
    <s v="Konventionel"/>
    <x v="2"/>
    <s v="Øvrige"/>
    <n v="408.11554781624284"/>
    <n v="17024.262930563389"/>
    <n v="0"/>
    <n v="17024.262930563389"/>
  </r>
  <r>
    <x v="0"/>
    <x v="10"/>
    <x v="1"/>
    <s v="Konventionel"/>
    <x v="2"/>
    <s v="Halm"/>
    <n v="1298.4872253048338"/>
    <n v="25975.464424506878"/>
    <n v="4634.0574543480388"/>
    <n v="4634.0574543480388"/>
  </r>
  <r>
    <x v="0"/>
    <x v="11"/>
    <x v="1"/>
    <s v="Konventionel"/>
    <x v="2"/>
    <s v="Juletræer"/>
    <n v="115.73747125009459"/>
    <n v="8101.6229875066201"/>
    <n v="0"/>
    <n v="8101.6229875066201"/>
  </r>
  <r>
    <x v="0"/>
    <x v="12"/>
    <x v="1"/>
    <s v="Konventionel"/>
    <x v="2"/>
    <s v="Pil &amp; poppel"/>
    <n v="273.20106069089286"/>
    <n v="9328.8167065182915"/>
    <n v="0"/>
    <n v="9328.8167065182915"/>
  </r>
  <r>
    <x v="0"/>
    <x v="13"/>
    <x v="1"/>
    <s v="Konventionel"/>
    <x v="2"/>
    <s v="Græs"/>
    <n v="26486.154998052578"/>
    <n v="511341.70839240309"/>
    <n v="0"/>
    <n v="511341.70839240309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723.65313630488879"/>
    <n v="4758.2943593964401"/>
    <n v="1667.8220073323796"/>
    <n v="1667.8220073323796"/>
  </r>
  <r>
    <x v="0"/>
    <x v="1"/>
    <x v="1"/>
    <s v="Økologisk"/>
    <x v="2"/>
    <s v="Halm"/>
    <n v="41.667384803005618"/>
    <n v="128.34721206100212"/>
    <n v="40.918255911522166"/>
    <n v="40.918255911522166"/>
  </r>
  <r>
    <x v="0"/>
    <x v="2"/>
    <x v="1"/>
    <s v="Økologisk"/>
    <x v="2"/>
    <s v="Halm"/>
    <n v="53.957376525494915"/>
    <n v="182.8075916683768"/>
    <n v="104.85096752478921"/>
    <n v="104.85096752478921"/>
  </r>
  <r>
    <x v="0"/>
    <x v="3"/>
    <x v="1"/>
    <s v="Økologisk"/>
    <x v="2"/>
    <s v="Græs"/>
    <n v="1244.4274314126412"/>
    <n v="67429.35014819121"/>
    <n v="0"/>
    <n v="67429.35014819121"/>
  </r>
  <r>
    <x v="0"/>
    <x v="4"/>
    <x v="1"/>
    <s v="Økologisk"/>
    <x v="2"/>
    <s v="Grøntsager"/>
    <n v="1.4464135682595993"/>
    <n v="23.950439070026576"/>
    <n v="0"/>
    <n v="23.950439070026576"/>
  </r>
  <r>
    <x v="0"/>
    <x v="5"/>
    <x v="1"/>
    <s v="Økologisk"/>
    <x v="2"/>
    <s v="Kartofler"/>
    <n v="76.559094320472624"/>
    <n v="2594.7238115773866"/>
    <n v="0"/>
    <n v="2594.7238115773866"/>
  </r>
  <r>
    <x v="0"/>
    <x v="6"/>
    <x v="1"/>
    <s v="Økologisk"/>
    <x v="2"/>
    <s v="Roer"/>
    <n v="0.82791484579133123"/>
    <n v="53.682394023125802"/>
    <n v="0"/>
    <n v="53.682394023125802"/>
  </r>
  <r>
    <x v="0"/>
    <x v="7"/>
    <x v="1"/>
    <s v="Økologisk"/>
    <x v="2"/>
    <s v="Majs"/>
    <n v="102.95931601810993"/>
    <n v="5325.1196592325769"/>
    <n v="0"/>
    <n v="5325.1196592325769"/>
  </r>
  <r>
    <x v="0"/>
    <x v="8"/>
    <x v="1"/>
    <s v="Økologisk"/>
    <x v="2"/>
    <s v="Frugt"/>
    <n v="2.9505011243272654"/>
    <n v="19.989704127339706"/>
    <n v="0"/>
    <n v="19.989704127339706"/>
  </r>
  <r>
    <x v="0"/>
    <x v="9"/>
    <x v="1"/>
    <s v="Økologisk"/>
    <x v="2"/>
    <s v="Øvrige"/>
    <n v="52.182271946542372"/>
    <n v="1240.7463815842973"/>
    <n v="0"/>
    <n v="1240.7463815842973"/>
  </r>
  <r>
    <x v="0"/>
    <x v="10"/>
    <x v="1"/>
    <s v="Økologisk"/>
    <x v="2"/>
    <s v="Halm"/>
    <n v="166.02654290562981"/>
    <n v="1893.1194628589992"/>
    <n v="337.7350339328782"/>
    <n v="337.7350339328782"/>
  </r>
  <r>
    <x v="0"/>
    <x v="11"/>
    <x v="1"/>
    <s v="Økologisk"/>
    <x v="2"/>
    <s v="Juletræer"/>
    <n v="14.798368333413432"/>
    <n v="590.45489650319587"/>
    <n v="0"/>
    <n v="590.45489650319587"/>
  </r>
  <r>
    <x v="0"/>
    <x v="12"/>
    <x v="1"/>
    <s v="Økologisk"/>
    <x v="2"/>
    <s v="Pil &amp; poppel"/>
    <n v="34.931901323874534"/>
    <n v="679.89407942565549"/>
    <n v="0"/>
    <n v="679.89407942565549"/>
  </r>
  <r>
    <x v="0"/>
    <x v="13"/>
    <x v="1"/>
    <s v="Økologisk"/>
    <x v="2"/>
    <s v="Græs"/>
    <n v="3386.5598856061138"/>
    <n v="65380.925151511634"/>
    <n v="0"/>
    <n v="65380.92515151163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6791.6965925925906"/>
    <n v="131120.49441659256"/>
    <n v="0"/>
    <n v="131120.49441659256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70169.83214296759"/>
    <n v="1192890.5233222027"/>
    <n v="418118.1147833335"/>
    <n v="418118.1147833335"/>
  </r>
  <r>
    <x v="1"/>
    <x v="1"/>
    <x v="1"/>
    <s v="Konventionel"/>
    <x v="0"/>
    <s v="Halm"/>
    <n v="37220.840874287176"/>
    <n v="143672.44577474851"/>
    <n v="45804.07949064998"/>
    <n v="45804.07949064998"/>
  </r>
  <r>
    <x v="1"/>
    <x v="2"/>
    <x v="1"/>
    <s v="Konventionel"/>
    <x v="0"/>
    <s v="Halm"/>
    <n v="44203.968724622173"/>
    <n v="194497.46238833759"/>
    <n v="111555.79987907718"/>
    <n v="111555.79987907718"/>
  </r>
  <r>
    <x v="1"/>
    <x v="3"/>
    <x v="1"/>
    <s v="Konventionel"/>
    <x v="0"/>
    <s v="Græs"/>
    <n v="87809.987150729692"/>
    <n v="4357131.5624192078"/>
    <n v="0"/>
    <n v="4357131.5624192078"/>
  </r>
  <r>
    <x v="1"/>
    <x v="4"/>
    <x v="1"/>
    <s v="Konventionel"/>
    <x v="0"/>
    <s v="Grøntsager"/>
    <n v="3667.1259147389733"/>
    <n v="76092.862730833687"/>
    <n v="0"/>
    <n v="76092.862730833687"/>
  </r>
  <r>
    <x v="1"/>
    <x v="5"/>
    <x v="1"/>
    <s v="Konventionel"/>
    <x v="0"/>
    <s v="Kartofler"/>
    <n v="15424.272301499061"/>
    <n v="655082.7183287458"/>
    <n v="0"/>
    <n v="655082.7183287458"/>
  </r>
  <r>
    <x v="1"/>
    <x v="6"/>
    <x v="1"/>
    <s v="Konventionel"/>
    <x v="0"/>
    <s v="Roer"/>
    <n v="9485.9858570699034"/>
    <n v="770771.74635654548"/>
    <n v="0"/>
    <n v="770771.74635654548"/>
  </r>
  <r>
    <x v="1"/>
    <x v="7"/>
    <x v="1"/>
    <s v="Konventionel"/>
    <x v="0"/>
    <s v="Majs"/>
    <n v="23033.800359863864"/>
    <n v="1025234.4540175407"/>
    <n v="0"/>
    <n v="1025234.4540175407"/>
  </r>
  <r>
    <x v="1"/>
    <x v="8"/>
    <x v="1"/>
    <s v="Konventionel"/>
    <x v="0"/>
    <s v="Frugt"/>
    <n v="15325.573934702474"/>
    <n v="130114.12270562403"/>
    <n v="0"/>
    <n v="130114.12270562403"/>
  </r>
  <r>
    <x v="1"/>
    <x v="9"/>
    <x v="1"/>
    <s v="Konventionel"/>
    <x v="0"/>
    <s v="Øvrige"/>
    <n v="8854.1929158733292"/>
    <n v="263819.03193194506"/>
    <n v="0"/>
    <n v="263819.03193194506"/>
  </r>
  <r>
    <x v="1"/>
    <x v="10"/>
    <x v="1"/>
    <s v="Konventionel"/>
    <x v="0"/>
    <s v="Halm"/>
    <n v="12788.160503604195"/>
    <n v="182728.24480605681"/>
    <n v="32598.962279363204"/>
    <n v="32598.962279363204"/>
  </r>
  <r>
    <x v="1"/>
    <x v="11"/>
    <x v="1"/>
    <s v="Konventionel"/>
    <x v="0"/>
    <s v="Juletræer"/>
    <n v="3516.3950575504314"/>
    <n v="175819.75287752156"/>
    <n v="0"/>
    <n v="175819.75287752156"/>
  </r>
  <r>
    <x v="1"/>
    <x v="12"/>
    <x v="1"/>
    <s v="Konventionel"/>
    <x v="0"/>
    <s v="Pil &amp; poppel"/>
    <n v="9575.2461841246914"/>
    <n v="233542.58985669981"/>
    <n v="0"/>
    <n v="233542.58985669981"/>
  </r>
  <r>
    <x v="1"/>
    <x v="13"/>
    <x v="1"/>
    <s v="Konventionel"/>
    <x v="0"/>
    <s v="Græs"/>
    <n v="22404.939107013139"/>
    <n v="308964.11028571118"/>
    <n v="0"/>
    <n v="308964.11028571118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Bælgsæd"/>
    <n v="0"/>
    <n v="0"/>
    <n v="0"/>
    <n v="0"/>
  </r>
  <r>
    <x v="1"/>
    <x v="2"/>
    <x v="2"/>
    <s v="Konventionel"/>
    <x v="0"/>
    <s v="Raps"/>
    <n v="0"/>
    <n v="0"/>
    <n v="0"/>
    <n v="0"/>
  </r>
  <r>
    <x v="1"/>
    <x v="3"/>
    <x v="2"/>
    <s v="Konventionel"/>
    <x v="0"/>
    <s v="Græs"/>
    <n v="0"/>
    <n v="0"/>
    <n v="0"/>
    <n v="0"/>
  </r>
  <r>
    <x v="1"/>
    <x v="4"/>
    <x v="2"/>
    <s v="Konventionel"/>
    <x v="0"/>
    <s v="Grøntsager"/>
    <n v="0"/>
    <n v="0"/>
    <n v="0"/>
    <n v="0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0"/>
    <n v="0"/>
    <n v="0"/>
    <n v="0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0"/>
    <n v="0"/>
    <n v="0"/>
    <n v="0"/>
  </r>
  <r>
    <x v="1"/>
    <x v="12"/>
    <x v="2"/>
    <s v="Konventionel"/>
    <x v="0"/>
    <s v="Pil &amp; poppel"/>
    <n v="0"/>
    <n v="0"/>
    <n v="0"/>
    <n v="0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1758.172423217798"/>
    <n v="102191.60842012704"/>
    <n v="35819.014254805305"/>
    <n v="35819.014254805305"/>
  </r>
  <r>
    <x v="1"/>
    <x v="1"/>
    <x v="1"/>
    <s v="Økologisk"/>
    <x v="0"/>
    <s v="Halm"/>
    <n v="4759.1130771022581"/>
    <n v="10471.000592240389"/>
    <n v="3338.2500095082087"/>
    <n v="3338.2500095082087"/>
  </r>
  <r>
    <x v="1"/>
    <x v="2"/>
    <x v="1"/>
    <s v="Økologisk"/>
    <x v="0"/>
    <s v="Halm"/>
    <n v="5651.9863784833815"/>
    <n v="13677.807035929785"/>
    <n v="7845.0314248228915"/>
    <n v="7845.0314248228915"/>
  </r>
  <r>
    <x v="1"/>
    <x v="3"/>
    <x v="1"/>
    <s v="Økologisk"/>
    <x v="0"/>
    <s v="Græs"/>
    <n v="11227.517926332235"/>
    <n v="434545.36281359236"/>
    <n v="0"/>
    <n v="434545.36281359236"/>
  </r>
  <r>
    <x v="1"/>
    <x v="4"/>
    <x v="1"/>
    <s v="Økologisk"/>
    <x v="0"/>
    <s v="Grøntsager"/>
    <n v="468.88427252784516"/>
    <n v="5545.7287333230888"/>
    <n v="0"/>
    <n v="5545.7287333230888"/>
  </r>
  <r>
    <x v="1"/>
    <x v="5"/>
    <x v="1"/>
    <s v="Økologisk"/>
    <x v="0"/>
    <s v="Kartofler"/>
    <n v="1972.1708131951523"/>
    <n v="47743.124957592416"/>
    <n v="0"/>
    <n v="47743.124957592416"/>
  </r>
  <r>
    <x v="1"/>
    <x v="6"/>
    <x v="1"/>
    <s v="Økologisk"/>
    <x v="0"/>
    <s v="Roer"/>
    <n v="1212.8925161595512"/>
    <n v="56174.664314095215"/>
    <n v="0"/>
    <n v="56174.664314095215"/>
  </r>
  <r>
    <x v="1"/>
    <x v="7"/>
    <x v="1"/>
    <s v="Økologisk"/>
    <x v="0"/>
    <s v="Majs"/>
    <n v="2945.1365937226469"/>
    <n v="108803.06472287388"/>
    <n v="0"/>
    <n v="108803.06472287388"/>
  </r>
  <r>
    <x v="1"/>
    <x v="8"/>
    <x v="1"/>
    <s v="Økologisk"/>
    <x v="0"/>
    <s v="Frugt"/>
    <n v="1959.5510905592043"/>
    <n v="9482.8555925431574"/>
    <n v="0"/>
    <n v="9482.8555925431574"/>
  </r>
  <r>
    <x v="1"/>
    <x v="9"/>
    <x v="1"/>
    <s v="Økologisk"/>
    <x v="0"/>
    <s v="Øvrige"/>
    <n v="1132.1105139843492"/>
    <n v="19227.41152422981"/>
    <n v="0"/>
    <n v="19227.41152422981"/>
  </r>
  <r>
    <x v="1"/>
    <x v="10"/>
    <x v="1"/>
    <s v="Økologisk"/>
    <x v="0"/>
    <s v="Halm"/>
    <n v="1635.1135668949571"/>
    <n v="13317.428747493015"/>
    <n v="2375.847028238089"/>
    <n v="2375.847028238089"/>
  </r>
  <r>
    <x v="1"/>
    <x v="11"/>
    <x v="1"/>
    <s v="Økologisk"/>
    <x v="0"/>
    <s v="Juletræer"/>
    <n v="449.61159687842485"/>
    <n v="12813.930511035109"/>
    <n v="0"/>
    <n v="12813.930511035109"/>
  </r>
  <r>
    <x v="1"/>
    <x v="12"/>
    <x v="1"/>
    <s v="Økologisk"/>
    <x v="0"/>
    <s v="Pil &amp; poppel"/>
    <n v="1224.3054767422425"/>
    <n v="17020.832237636056"/>
    <n v="0"/>
    <n v="17020.832237636056"/>
  </r>
  <r>
    <x v="1"/>
    <x v="13"/>
    <x v="1"/>
    <s v="Økologisk"/>
    <x v="0"/>
    <s v="Græs"/>
    <n v="2864.7294416587538"/>
    <n v="39504.619000474224"/>
    <n v="0"/>
    <n v="39504.619000474224"/>
  </r>
  <r>
    <x v="1"/>
    <x v="0"/>
    <x v="2"/>
    <s v="Økologisk"/>
    <x v="0"/>
    <s v="Halm"/>
    <n v="27928.63175828362"/>
    <n v="131172.40477913068"/>
    <n v="52337.920136192792"/>
    <n v="52337.920136192792"/>
  </r>
  <r>
    <x v="1"/>
    <x v="1"/>
    <x v="2"/>
    <s v="Økologisk"/>
    <x v="0"/>
    <s v="Halm"/>
    <n v="82743.509683987591"/>
    <n v="182052.2700067095"/>
    <n v="66069.703489053689"/>
    <n v="66069.703489053689"/>
  </r>
  <r>
    <x v="1"/>
    <x v="2"/>
    <x v="2"/>
    <s v="Økologisk"/>
    <x v="0"/>
    <s v="Halm"/>
    <n v="73008.979132930224"/>
    <n v="176681.72950169115"/>
    <n v="115357.39530774491"/>
    <n v="115357.39530774491"/>
  </r>
  <r>
    <x v="1"/>
    <x v="3"/>
    <x v="2"/>
    <s v="Økologisk"/>
    <x v="0"/>
    <s v="Græs"/>
    <n v="170354.28464350387"/>
    <n v="6593324.0911283158"/>
    <n v="0"/>
    <n v="6593324.0911283158"/>
  </r>
  <r>
    <x v="1"/>
    <x v="4"/>
    <x v="2"/>
    <s v="Økologisk"/>
    <x v="0"/>
    <s v="Grøntsager"/>
    <n v="6245.8042275715852"/>
    <n v="73872.249501602928"/>
    <n v="0"/>
    <n v="73872.249501602928"/>
  </r>
  <r>
    <x v="1"/>
    <x v="5"/>
    <x v="2"/>
    <s v="Økologisk"/>
    <x v="0"/>
    <s v="Kartofler"/>
    <n v="26270.432864254519"/>
    <n v="635965.48054381739"/>
    <n v="0"/>
    <n v="635965.48054381739"/>
  </r>
  <r>
    <x v="1"/>
    <x v="6"/>
    <x v="2"/>
    <s v="Økologisk"/>
    <x v="0"/>
    <s v="Roer"/>
    <n v="16156.415663460722"/>
    <n v="748278.36293987604"/>
    <n v="0"/>
    <n v="748278.36293987604"/>
  </r>
  <r>
    <x v="1"/>
    <x v="7"/>
    <x v="2"/>
    <s v="Økologisk"/>
    <x v="0"/>
    <s v="Majs"/>
    <n v="3780.3558958910544"/>
    <n v="139658.82196867198"/>
    <n v="0"/>
    <n v="139658.82196867198"/>
  </r>
  <r>
    <x v="1"/>
    <x v="8"/>
    <x v="2"/>
    <s v="Økologisk"/>
    <x v="0"/>
    <s v="Frugt"/>
    <n v="43559.860982137143"/>
    <n v="210799.23525085626"/>
    <n v="0"/>
    <n v="210799.23525085626"/>
  </r>
  <r>
    <x v="1"/>
    <x v="9"/>
    <x v="2"/>
    <s v="Økologisk"/>
    <x v="0"/>
    <s v="Øvrige"/>
    <n v="1453.1688158243799"/>
    <n v="24680.165488171886"/>
    <n v="0"/>
    <n v="24680.165488171886"/>
  </r>
  <r>
    <x v="1"/>
    <x v="10"/>
    <x v="2"/>
    <s v="Økologisk"/>
    <x v="0"/>
    <s v="Halm"/>
    <n v="2098.8198734951161"/>
    <n v="17094.154611029004"/>
    <n v="3471.5330560235702"/>
    <n v="3471.5330560235702"/>
  </r>
  <r>
    <x v="1"/>
    <x v="11"/>
    <x v="2"/>
    <s v="Økologisk"/>
    <x v="0"/>
    <s v="Juletræer"/>
    <n v="3692.7625148507746"/>
    <n v="105243.73167324706"/>
    <n v="0"/>
    <n v="105243.73167324706"/>
  </r>
  <r>
    <x v="1"/>
    <x v="12"/>
    <x v="2"/>
    <s v="Økologisk"/>
    <x v="0"/>
    <s v="Pil &amp; poppel"/>
    <n v="25756.355635942306"/>
    <n v="358076.16371919797"/>
    <n v="0"/>
    <n v="358076.16371919797"/>
  </r>
  <r>
    <x v="1"/>
    <x v="13"/>
    <x v="2"/>
    <s v="Økologisk"/>
    <x v="0"/>
    <s v="Græs"/>
    <n v="3677.145860735322"/>
    <n v="50707.841419540098"/>
    <n v="0"/>
    <n v="50707.84141954009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230.830510672768"/>
    <n v="18765.746255779322"/>
    <n v="6577.5511612892114"/>
    <n v="6577.5511612892114"/>
  </r>
  <r>
    <x v="1"/>
    <x v="1"/>
    <x v="1"/>
    <s v="Konventionel"/>
    <x v="1"/>
    <s v="Halm"/>
    <n v="60.325222950477325"/>
    <n v="279.42643270661097"/>
    <n v="89.083682444917784"/>
    <n v="89.083682444917784"/>
  </r>
  <r>
    <x v="1"/>
    <x v="2"/>
    <x v="1"/>
    <s v="Konventionel"/>
    <x v="1"/>
    <s v="Halm"/>
    <n v="243.66299910145614"/>
    <n v="1286.5406352556884"/>
    <n v="737.90715765909226"/>
    <n v="737.90715765909226"/>
  </r>
  <r>
    <x v="1"/>
    <x v="3"/>
    <x v="1"/>
    <s v="Konventionel"/>
    <x v="1"/>
    <s v="Græs"/>
    <n v="716.47131301367313"/>
    <n v="42661.567862086158"/>
    <n v="0"/>
    <n v="42661.567862086158"/>
  </r>
  <r>
    <x v="1"/>
    <x v="4"/>
    <x v="1"/>
    <s v="Konventionel"/>
    <x v="1"/>
    <s v="Grøntsager"/>
    <n v="13.56919075168542"/>
    <n v="337.87284971696698"/>
    <n v="0"/>
    <n v="337.87284971696698"/>
  </r>
  <r>
    <x v="1"/>
    <x v="5"/>
    <x v="1"/>
    <s v="Konventionel"/>
    <x v="1"/>
    <s v="Kartofler"/>
    <n v="23.068866162854491"/>
    <n v="1175.7065948522729"/>
    <n v="0"/>
    <n v="1175.7065948522729"/>
  </r>
  <r>
    <x v="1"/>
    <x v="6"/>
    <x v="1"/>
    <s v="Konventionel"/>
    <x v="1"/>
    <s v="Roer"/>
    <n v="64.449558610774517"/>
    <n v="6284.1205446636968"/>
    <n v="0"/>
    <n v="6284.1205446636968"/>
  </r>
  <r>
    <x v="1"/>
    <x v="7"/>
    <x v="1"/>
    <s v="Konventionel"/>
    <x v="1"/>
    <s v="Majs"/>
    <n v="68.713175144526659"/>
    <n v="3670.108110819458"/>
    <n v="0"/>
    <n v="3670.108110819458"/>
  </r>
  <r>
    <x v="1"/>
    <x v="8"/>
    <x v="1"/>
    <s v="Konventionel"/>
    <x v="1"/>
    <s v="Frugt"/>
    <n v="14.822844383576701"/>
    <n v="151.01513857987945"/>
    <n v="0"/>
    <n v="151.01513857987945"/>
  </r>
  <r>
    <x v="1"/>
    <x v="9"/>
    <x v="1"/>
    <s v="Konventionel"/>
    <x v="1"/>
    <s v="Øvrige"/>
    <n v="105.84229815168821"/>
    <n v="3784.405363805176"/>
    <n v="0"/>
    <n v="3784.405363805176"/>
  </r>
  <r>
    <x v="1"/>
    <x v="10"/>
    <x v="1"/>
    <s v="Konventionel"/>
    <x v="1"/>
    <s v="Halm"/>
    <n v="768.41006535428994"/>
    <n v="13175.645316049056"/>
    <n v="2350.5526752036908"/>
    <n v="2350.5526752036908"/>
  </r>
  <r>
    <x v="1"/>
    <x v="11"/>
    <x v="1"/>
    <s v="Konventionel"/>
    <x v="1"/>
    <s v="Juletræer"/>
    <n v="23.227312797648128"/>
    <n v="1393.6387678588878"/>
    <n v="0"/>
    <n v="1393.6387678588878"/>
  </r>
  <r>
    <x v="1"/>
    <x v="12"/>
    <x v="1"/>
    <s v="Konventionel"/>
    <x v="1"/>
    <s v="Pil &amp; poppel"/>
    <n v="49.297032923373933"/>
    <n v="1442.8399880011884"/>
    <n v="0"/>
    <n v="1442.8399880011884"/>
  </r>
  <r>
    <x v="1"/>
    <x v="13"/>
    <x v="1"/>
    <s v="Konventionel"/>
    <x v="1"/>
    <s v="Græs"/>
    <n v="4624.9645652760382"/>
    <n v="76533.913626187874"/>
    <n v="0"/>
    <n v="76533.913626187874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285.23736720509544"/>
    <n v="1607.6092110626062"/>
    <n v="563.48048668022147"/>
    <n v="563.48048668022147"/>
  </r>
  <r>
    <x v="1"/>
    <x v="1"/>
    <x v="1"/>
    <s v="Økologisk"/>
    <x v="1"/>
    <s v="Halm"/>
    <n v="7.7132743559551313"/>
    <n v="20.364895485566976"/>
    <n v="6.4925134851684581"/>
    <n v="6.4925134851684581"/>
  </r>
  <r>
    <x v="1"/>
    <x v="2"/>
    <x v="1"/>
    <s v="Økologisk"/>
    <x v="1"/>
    <s v="Halm"/>
    <n v="31.155120040041375"/>
    <n v="90.474468596280161"/>
    <n v="51.89245961852545"/>
    <n v="51.89245961852545"/>
  </r>
  <r>
    <x v="1"/>
    <x v="3"/>
    <x v="1"/>
    <s v="Økologisk"/>
    <x v="1"/>
    <s v="Græs"/>
    <n v="91.609107022821874"/>
    <n v="4254.722681482187"/>
    <n v="0"/>
    <n v="4254.722681482187"/>
  </r>
  <r>
    <x v="1"/>
    <x v="4"/>
    <x v="1"/>
    <s v="Økologisk"/>
    <x v="1"/>
    <s v="Grøntsager"/>
    <n v="1.7349772771160648"/>
    <n v="24.624532494108305"/>
    <n v="0"/>
    <n v="24.624532494108305"/>
  </r>
  <r>
    <x v="1"/>
    <x v="5"/>
    <x v="1"/>
    <s v="Økologisk"/>
    <x v="1"/>
    <s v="Kartofler"/>
    <n v="2.9496201603926053"/>
    <n v="85.686746575610925"/>
    <n v="0"/>
    <n v="85.686746575610925"/>
  </r>
  <r>
    <x v="1"/>
    <x v="6"/>
    <x v="1"/>
    <s v="Økologisk"/>
    <x v="1"/>
    <s v="Roer"/>
    <n v="8.2406181588953551"/>
    <n v="457.99338620605954"/>
    <n v="0"/>
    <n v="457.99338620605954"/>
  </r>
  <r>
    <x v="1"/>
    <x v="7"/>
    <x v="1"/>
    <s v="Økologisk"/>
    <x v="1"/>
    <s v="Majs"/>
    <n v="8.7857706252262986"/>
    <n v="389.49043192670729"/>
    <n v="0"/>
    <n v="389.49043192670729"/>
  </r>
  <r>
    <x v="1"/>
    <x v="8"/>
    <x v="1"/>
    <s v="Økologisk"/>
    <x v="1"/>
    <s v="Frugt"/>
    <n v="1.8952713288770544"/>
    <n v="11.006143850201674"/>
    <n v="0"/>
    <n v="11.006143850201674"/>
  </r>
  <r>
    <x v="1"/>
    <x v="9"/>
    <x v="1"/>
    <s v="Økologisk"/>
    <x v="1"/>
    <s v="Øvrige"/>
    <n v="13.533156516950996"/>
    <n v="275.81148627349637"/>
    <n v="0"/>
    <n v="275.81148627349637"/>
  </r>
  <r>
    <x v="1"/>
    <x v="10"/>
    <x v="1"/>
    <s v="Økologisk"/>
    <x v="1"/>
    <s v="Halm"/>
    <n v="98.25007454710375"/>
    <n v="960.25503821239181"/>
    <n v="171.31077793955066"/>
    <n v="171.31077793955066"/>
  </r>
  <r>
    <x v="1"/>
    <x v="11"/>
    <x v="1"/>
    <s v="Økologisk"/>
    <x v="1"/>
    <s v="Juletræer"/>
    <n v="2.96987938705049"/>
    <n v="101.56987503712675"/>
    <n v="0"/>
    <n v="101.56987503712675"/>
  </r>
  <r>
    <x v="1"/>
    <x v="12"/>
    <x v="1"/>
    <s v="Økologisk"/>
    <x v="1"/>
    <s v="Pil &amp; poppel"/>
    <n v="6.3031932792803271"/>
    <n v="105.15571226896935"/>
    <n v="0"/>
    <n v="105.15571226896935"/>
  </r>
  <r>
    <x v="1"/>
    <x v="13"/>
    <x v="1"/>
    <s v="Økologisk"/>
    <x v="1"/>
    <s v="Græs"/>
    <n v="591.35497282505401"/>
    <n v="9785.7420903089933"/>
    <n v="0"/>
    <n v="9785.7420903089933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325.1374814814808"/>
    <n v="21928.375043555545"/>
    <n v="0"/>
    <n v="21928.37504355554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229.7001774151138"/>
    <n v="12068.277541151925"/>
    <n v="4230.0323085269065"/>
    <n v="4230.0323085269065"/>
  </r>
  <r>
    <x v="1"/>
    <x v="1"/>
    <x v="1"/>
    <s v="Konventionel"/>
    <x v="2"/>
    <s v="Halm"/>
    <n v="22.335410277576099"/>
    <n v="120.70055714002125"/>
    <n v="38.480432931969773"/>
    <n v="38.480432931969773"/>
  </r>
  <r>
    <x v="1"/>
    <x v="2"/>
    <x v="1"/>
    <s v="Konventionel"/>
    <x v="2"/>
    <s v="Halm"/>
    <n v="109.10325291425241"/>
    <n v="672.07603795179477"/>
    <n v="385.47536339357953"/>
    <n v="385.47536339357953"/>
  </r>
  <r>
    <x v="1"/>
    <x v="3"/>
    <x v="1"/>
    <s v="Konventionel"/>
    <x v="2"/>
    <s v="Græs"/>
    <n v="801.75462298516175"/>
    <n v="55696.290149533219"/>
    <n v="0"/>
    <n v="55696.290149533219"/>
  </r>
  <r>
    <x v="1"/>
    <x v="4"/>
    <x v="1"/>
    <s v="Konventionel"/>
    <x v="2"/>
    <s v="Grøntsager"/>
    <n v="3.7735374359053933"/>
    <n v="109.62126251305168"/>
    <n v="0"/>
    <n v="109.62126251305168"/>
  </r>
  <r>
    <x v="1"/>
    <x v="5"/>
    <x v="1"/>
    <s v="Konventionel"/>
    <x v="2"/>
    <s v="Kartofler"/>
    <n v="21.50871323094557"/>
    <n v="1278.8921563318527"/>
    <n v="0"/>
    <n v="1278.8921563318527"/>
  </r>
  <r>
    <x v="1"/>
    <x v="6"/>
    <x v="1"/>
    <s v="Konventionel"/>
    <x v="2"/>
    <s v="Roer"/>
    <n v="24.769124387034655"/>
    <n v="2817.6172899734825"/>
    <n v="0"/>
    <n v="2817.6172899734825"/>
  </r>
  <r>
    <x v="1"/>
    <x v="7"/>
    <x v="1"/>
    <s v="Konventionel"/>
    <x v="2"/>
    <s v="Majs"/>
    <n v="25.441049088005123"/>
    <n v="1585.3335328699513"/>
    <n v="0"/>
    <n v="1585.3335328699513"/>
  </r>
  <r>
    <x v="1"/>
    <x v="8"/>
    <x v="1"/>
    <s v="Konventionel"/>
    <x v="2"/>
    <s v="Frugt"/>
    <n v="9.2319327042333263"/>
    <n v="109.73075212251732"/>
    <n v="0"/>
    <n v="109.73075212251732"/>
  </r>
  <r>
    <x v="1"/>
    <x v="9"/>
    <x v="1"/>
    <s v="Konventionel"/>
    <x v="2"/>
    <s v="Øvrige"/>
    <n v="65.920477103599382"/>
    <n v="2749.82793653615"/>
    <n v="0"/>
    <n v="2749.82793653615"/>
  </r>
  <r>
    <x v="1"/>
    <x v="10"/>
    <x v="1"/>
    <s v="Konventionel"/>
    <x v="2"/>
    <s v="Halm"/>
    <n v="616.89552694179065"/>
    <n v="12340.628002676012"/>
    <n v="2201.5844742003133"/>
    <n v="2201.5844742003133"/>
  </r>
  <r>
    <x v="1"/>
    <x v="11"/>
    <x v="1"/>
    <s v="Konventionel"/>
    <x v="2"/>
    <s v="Juletræer"/>
    <n v="14.466386011962104"/>
    <n v="1012.6470208373472"/>
    <n v="0"/>
    <n v="1012.6470208373472"/>
  </r>
  <r>
    <x v="1"/>
    <x v="12"/>
    <x v="1"/>
    <s v="Konventionel"/>
    <x v="2"/>
    <s v="Pil &amp; poppel"/>
    <n v="44.128542424612569"/>
    <n v="1506.8282779136"/>
    <n v="0"/>
    <n v="1506.8282779136"/>
  </r>
  <r>
    <x v="1"/>
    <x v="13"/>
    <x v="1"/>
    <s v="Konventionel"/>
    <x v="2"/>
    <s v="Græs"/>
    <n v="4022.6412881001361"/>
    <n v="77661.11270806122"/>
    <n v="0"/>
    <n v="77661.11270806122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57.2313267993388"/>
    <n v="1033.8557216098363"/>
    <n v="362.37508541318959"/>
    <n v="362.37508541318959"/>
  </r>
  <r>
    <x v="1"/>
    <x v="1"/>
    <x v="1"/>
    <s v="Økologisk"/>
    <x v="2"/>
    <s v="Halm"/>
    <n v="2.8558393802405542"/>
    <n v="8.7967849261673745"/>
    <n v="2.8044948622371098"/>
    <n v="2.8044948622371098"/>
  </r>
  <r>
    <x v="1"/>
    <x v="2"/>
    <x v="1"/>
    <s v="Økologisk"/>
    <x v="2"/>
    <s v="Halm"/>
    <n v="13.950107130903383"/>
    <n v="47.262962959500669"/>
    <n v="27.108105025428031"/>
    <n v="27.108105025428031"/>
  </r>
  <r>
    <x v="1"/>
    <x v="3"/>
    <x v="1"/>
    <s v="Økologisk"/>
    <x v="2"/>
    <s v="Græs"/>
    <n v="102.51356017891004"/>
    <n v="5554.7013588366472"/>
    <n v="0"/>
    <n v="5554.7013588366472"/>
  </r>
  <r>
    <x v="1"/>
    <x v="4"/>
    <x v="1"/>
    <s v="Økologisk"/>
    <x v="2"/>
    <s v="Grøntsager"/>
    <n v="0.48249021076142495"/>
    <n v="7.9893141548930551"/>
    <n v="0"/>
    <n v="7.9893141548930551"/>
  </r>
  <r>
    <x v="1"/>
    <x v="5"/>
    <x v="1"/>
    <s v="Økologisk"/>
    <x v="2"/>
    <s v="Kartofler"/>
    <n v="2.7501366440044395"/>
    <n v="93.207019997122003"/>
    <n v="0"/>
    <n v="93.207019997122003"/>
  </r>
  <r>
    <x v="1"/>
    <x v="6"/>
    <x v="1"/>
    <s v="Økologisk"/>
    <x v="2"/>
    <s v="Roer"/>
    <n v="3.1670177516097451"/>
    <n v="205.35094361986913"/>
    <n v="0"/>
    <n v="205.35094361986913"/>
  </r>
  <r>
    <x v="1"/>
    <x v="7"/>
    <x v="1"/>
    <s v="Økologisk"/>
    <x v="2"/>
    <s v="Majs"/>
    <n v="3.2529310613605098"/>
    <n v="168.24361131082361"/>
    <n v="0"/>
    <n v="168.24361131082361"/>
  </r>
  <r>
    <x v="1"/>
    <x v="8"/>
    <x v="1"/>
    <s v="Økologisk"/>
    <x v="2"/>
    <s v="Frugt"/>
    <n v="1.1804088953292959"/>
    <n v="7.9972938740338861"/>
    <n v="0"/>
    <n v="7.9972938740338861"/>
  </r>
  <r>
    <x v="1"/>
    <x v="9"/>
    <x v="1"/>
    <s v="Økologisk"/>
    <x v="2"/>
    <s v="Øvrige"/>
    <n v="8.4286920247759696"/>
    <n v="200.41038347166389"/>
    <n v="0"/>
    <n v="200.41038347166389"/>
  </r>
  <r>
    <x v="1"/>
    <x v="10"/>
    <x v="1"/>
    <s v="Økologisk"/>
    <x v="2"/>
    <s v="Halm"/>
    <n v="78.877196229672492"/>
    <n v="899.39808867198917"/>
    <n v="160.45381707610923"/>
    <n v="160.45381707610923"/>
  </r>
  <r>
    <x v="1"/>
    <x v="11"/>
    <x v="1"/>
    <s v="Økologisk"/>
    <x v="2"/>
    <s v="Juletræer"/>
    <n v="1.8496940217032787"/>
    <n v="73.802791465960794"/>
    <n v="0"/>
    <n v="73.802791465960794"/>
  </r>
  <r>
    <x v="1"/>
    <x v="12"/>
    <x v="1"/>
    <s v="Økologisk"/>
    <x v="2"/>
    <s v="Pil &amp; poppel"/>
    <n v="5.6423422575473294"/>
    <n v="109.81924686640899"/>
    <n v="0"/>
    <n v="109.81924686640899"/>
  </r>
  <r>
    <x v="1"/>
    <x v="13"/>
    <x v="1"/>
    <s v="Økologisk"/>
    <x v="2"/>
    <s v="Græs"/>
    <n v="514.34100651696951"/>
    <n v="9929.8674718166149"/>
    <n v="0"/>
    <n v="9929.8674718166149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1031.5034074074065"/>
    <n v="19914.204783407389"/>
    <n v="0"/>
    <n v="19914.20478340738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70645.52593143433"/>
    <n v="0"/>
    <n v="0"/>
    <m/>
    <n v="0"/>
    <n v="0"/>
    <n v="0"/>
    <n v="0"/>
    <n v="170645.52593143433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45577.01129372371"/>
    <n v="40228.873469919854"/>
    <n v="0"/>
    <m/>
    <n v="0"/>
    <n v="0"/>
    <n v="0"/>
    <n v="0"/>
    <n v="505348.1378238038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57487622.60657209"/>
    <n v="0"/>
    <n v="0"/>
    <m/>
    <n v="0"/>
    <n v="0"/>
    <n v="457487622.60657209"/>
    <n v="0"/>
    <n v="0"/>
    <n v="0"/>
    <n v="457487622.60657209"/>
    <n v="0"/>
    <n v="0"/>
    <n v="0"/>
    <n v="0"/>
    <n v="0"/>
    <n v="0"/>
    <n v="0"/>
    <n v="0"/>
    <x v="0"/>
  </r>
  <r>
    <x v="4"/>
    <s v=""/>
    <n v="0"/>
    <n v="0"/>
    <x v="1"/>
    <s v="Vestdanmark"/>
    <n v="25538906.878535587"/>
    <n v="0"/>
    <n v="0"/>
    <m/>
    <n v="0"/>
    <n v="21322392.885014642"/>
    <n v="0"/>
    <n v="0"/>
    <n v="4216513.993520945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6722386.865540422"/>
    <n v="0"/>
    <n v="0"/>
    <m/>
    <n v="12541790.149155317"/>
    <n v="0"/>
    <n v="0"/>
    <n v="0"/>
    <n v="4180596.7163851056"/>
    <n v="4180596.7163851056"/>
    <n v="12541790.149155317"/>
    <n v="2.3746879520730859"/>
    <n v="9.4987518082923437"/>
    <n v="7.1240638562192586"/>
    <n v="2.374687952073085"/>
    <n v="178776.47760845334"/>
    <n v="715105.91043381335"/>
    <n v="536329.43282535998"/>
    <n v="178776.47760845337"/>
    <x v="0"/>
  </r>
  <r>
    <x v="6"/>
    <s v="Husdyrgødning"/>
    <n v="1"/>
    <n v="0"/>
    <x v="1"/>
    <s v="Vestdanmark"/>
    <n v="1772243.3904723523"/>
    <n v="0"/>
    <n v="0"/>
    <m/>
    <n v="1329182.5428542641"/>
    <n v="167730.1780268476"/>
    <n v="0"/>
    <n v="0"/>
    <n v="275330.66959124058"/>
    <n v="275330.66959124058"/>
    <n v="1329182.5428542641"/>
    <n v="0.59306226229953218"/>
    <n v="3.4561214596076173"/>
    <n v="2.8630591973080852"/>
    <n v="0.59306226229953207"/>
    <n v="82599.200877372175"/>
    <n v="481353.96373365138"/>
    <n v="398754.76285627921"/>
    <n v="82599.200877372175"/>
    <x v="0"/>
  </r>
  <r>
    <x v="7"/>
    <s v=""/>
    <n v="0"/>
    <n v="0"/>
    <x v="1"/>
    <s v="Vestdanmark"/>
    <n v="11778214.995380456"/>
    <n v="1826272.75668226"/>
    <n v="0"/>
    <m/>
    <n v="0"/>
    <n v="0"/>
    <n v="0"/>
    <n v="0"/>
    <n v="9951942.2386981957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6450.400880208218"/>
    <n v="0"/>
    <n v="0"/>
    <m/>
    <n v="4837.8006601561638"/>
    <n v="1612.6002200520545"/>
    <n v="0"/>
    <n v="0"/>
    <n v="0"/>
    <n v="0"/>
    <n v="4837.8006601561638"/>
    <n v="0"/>
    <n v="2.2751692724648424E-3"/>
    <n v="2.2751692724648424E-3"/>
    <n v="0"/>
    <n v="0"/>
    <n v="304.78144158983832"/>
    <n v="304.78144158983832"/>
    <n v="0"/>
    <x v="0"/>
  </r>
  <r>
    <x v="9"/>
    <s v=""/>
    <n v="0"/>
    <n v="1"/>
    <x v="1"/>
    <s v="Vestdanmark"/>
    <n v="146352.36036688712"/>
    <n v="0"/>
    <n v="0"/>
    <m/>
    <n v="0"/>
    <n v="0"/>
    <n v="0"/>
    <n v="0"/>
    <n v="146352.36036688712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49561.48395824642"/>
    <n v="0"/>
    <n v="0"/>
    <m/>
    <n v="0"/>
    <n v="0"/>
    <n v="0"/>
    <n v="0"/>
    <n v="749561.48395824642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488405.10801459721"/>
    <n v="0"/>
    <n v="0"/>
    <m/>
    <n v="0"/>
    <n v="0"/>
    <n v="0"/>
    <n v="0"/>
    <n v="488405.10801459721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3233296.600181103"/>
    <n v="7632870.0065635424"/>
    <n v="0"/>
    <m/>
    <n v="0"/>
    <n v="0"/>
    <n v="0"/>
    <n v="34221449.144391388"/>
    <n v="-18621022.550773829"/>
    <n v="0"/>
    <n v="0"/>
    <n v="0"/>
    <n v="0"/>
    <n v="0"/>
    <n v="0"/>
    <n v="0"/>
    <n v="0"/>
    <n v="0"/>
    <n v="0"/>
    <x v="1"/>
  </r>
  <r>
    <x v="14"/>
    <s v=""/>
    <n v="0"/>
    <n v="0"/>
    <x v="1"/>
    <s v="Vestdanmark"/>
    <n v="5720847.2834705068"/>
    <n v="5720847.2834705068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318920.65280775877"/>
    <n v="0"/>
    <n v="0"/>
    <m/>
    <n v="0"/>
    <n v="0"/>
    <n v="0"/>
    <n v="0"/>
    <n v="318920.65280775877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13317.1484140675"/>
    <n v="482187.74728528934"/>
    <n v="496834.86508299207"/>
    <m/>
    <n v="0"/>
    <n v="0"/>
    <n v="1234294.536045786"/>
    <n v="0"/>
    <n v="0"/>
    <n v="0"/>
    <n v="1234294.536045786"/>
    <n v="0"/>
    <n v="12.757429290020946"/>
    <n v="0"/>
    <n v="12.757429290020946"/>
    <n v="0"/>
    <n v="1049150.355638918"/>
    <n v="0"/>
    <n v="1049150.355638918"/>
    <x v="0"/>
  </r>
  <r>
    <x v="17"/>
    <s v="Bionedbrydeligt affald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1942953.6559396773"/>
    <n v="0"/>
    <m/>
    <n v="0"/>
    <n v="0"/>
    <n v="0"/>
    <n v="0"/>
    <n v="-1942953.6559396773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21188.13344095187"/>
    <n v="0"/>
    <n v="0"/>
    <m/>
    <n v="0"/>
    <n v="0"/>
    <n v="0"/>
    <n v="0"/>
    <n v="421188.13344095187"/>
    <n v="421188.13344095187"/>
    <n v="0"/>
    <n v="1.8250629366569919"/>
    <n v="1.8250629366569919"/>
    <n v="0"/>
    <n v="1.8250629366569919"/>
    <n v="176899.01604519979"/>
    <n v="176899.01604519979"/>
    <n v="0"/>
    <n v="176899.01604519979"/>
    <x v="0"/>
  </r>
  <r>
    <x v="20"/>
    <s v=""/>
    <n v="0"/>
    <n v="0"/>
    <x v="1"/>
    <s v="Vestdanmark"/>
    <n v="682243.34675238712"/>
    <n v="0"/>
    <n v="0"/>
    <m/>
    <n v="0"/>
    <n v="0"/>
    <n v="0"/>
    <n v="0"/>
    <n v="682243.34675238712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537122.9309529141"/>
    <n v="0"/>
    <n v="0"/>
    <m/>
    <n v="0"/>
    <n v="0"/>
    <n v="0"/>
    <n v="0"/>
    <n v="2537122.9309529141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698307.4709618408"/>
    <n v="2691129.5009707427"/>
    <n v="0"/>
    <m/>
    <n v="0"/>
    <n v="0"/>
    <n v="0"/>
    <n v="0"/>
    <n v="2007177.9699910982"/>
    <n v="2007177.9699910982"/>
    <n v="0"/>
    <n v="6.8743035423037133"/>
    <n v="6.8743035423037133"/>
    <n v="0"/>
    <n v="6.8743035423037133"/>
    <n v="622225.17069724039"/>
    <n v="622225.17069724039"/>
    <n v="0"/>
    <n v="622225.17069724039"/>
    <x v="0"/>
  </r>
  <r>
    <x v="23"/>
    <s v=""/>
    <n v="0"/>
    <n v="0"/>
    <x v="1"/>
    <s v="Vestdanmark"/>
    <n v="0"/>
    <n v="0"/>
    <n v="0"/>
    <m/>
    <n v="0"/>
    <n v="588433.36945369444"/>
    <n v="0"/>
    <n v="0"/>
    <n v="-588433.36945369444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6068128.1928290678"/>
    <n v="0"/>
    <n v="0"/>
    <m/>
    <n v="4551096.1446218006"/>
    <n v="1517032.048207267"/>
    <n v="0"/>
    <n v="0"/>
    <n v="0"/>
    <n v="0"/>
    <n v="4551096.1446218006"/>
    <n v="0"/>
    <n v="2.3037193574461097"/>
    <n v="2.3037193574461097"/>
    <n v="0"/>
    <n v="0"/>
    <n v="345883.30699125683"/>
    <n v="345883.30699125683"/>
    <n v="0"/>
    <x v="0"/>
  </r>
  <r>
    <x v="25"/>
    <s v=""/>
    <n v="0"/>
    <n v="0"/>
    <x v="1"/>
    <s v="Vestdanmark"/>
    <n v="706621.13097372942"/>
    <n v="609921.6300278171"/>
    <n v="0"/>
    <m/>
    <n v="0"/>
    <n v="0"/>
    <n v="0"/>
    <n v="0"/>
    <n v="96699.500945912325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4171283.8969927602"/>
    <n v="3525167.7695113975"/>
    <n v="0"/>
    <m/>
    <n v="0"/>
    <n v="0"/>
    <n v="0"/>
    <n v="0"/>
    <n v="646116.12748136278"/>
    <n v="646116.12748136278"/>
    <n v="0"/>
    <n v="2.3195568976580927"/>
    <n v="2.3195568976580927"/>
    <n v="0"/>
    <n v="2.3195568976580927"/>
    <n v="193834.83824440883"/>
    <n v="193834.83824440883"/>
    <n v="0"/>
    <n v="193834.83824440883"/>
    <x v="0"/>
  </r>
  <r>
    <x v="27"/>
    <s v=""/>
    <n v="0"/>
    <n v="1"/>
    <x v="1"/>
    <s v="Vestdanmark"/>
    <n v="1363412.0539430196"/>
    <n v="0"/>
    <n v="0"/>
    <m/>
    <n v="0"/>
    <n v="0"/>
    <n v="0"/>
    <n v="0"/>
    <n v="1363412.0539430196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87951.528514645848"/>
    <n v="0"/>
    <n v="0"/>
    <m/>
    <n v="0"/>
    <n v="0"/>
    <n v="0"/>
    <n v="0"/>
    <n v="87951.52851464584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037736.7550566321"/>
    <n v="0"/>
    <n v="0"/>
    <m/>
    <n v="0"/>
    <n v="0"/>
    <n v="0"/>
    <n v="0"/>
    <n v="1037736.7550566321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897193.5214277351"/>
    <n v="0"/>
    <n v="0"/>
    <m/>
    <n v="0"/>
    <n v="0"/>
    <n v="897193.5214277351"/>
    <n v="0"/>
    <n v="0"/>
    <n v="0"/>
    <n v="897193.5214277351"/>
    <n v="0"/>
    <n v="16.508360794270324"/>
    <n v="0"/>
    <n v="16.508360794270324"/>
    <n v="0"/>
    <n v="372335.31139251008"/>
    <n v="0"/>
    <n v="372335.31139251008"/>
    <x v="0"/>
  </r>
  <r>
    <x v="32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123110.9588889731"/>
    <n v="0"/>
    <n v="0"/>
    <m/>
    <n v="0"/>
    <n v="0"/>
    <n v="0"/>
    <n v="0"/>
    <n v="2123110.9588889731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6385.00175039668"/>
    <n v="0"/>
    <n v="0"/>
    <m/>
    <n v="0"/>
    <n v="0"/>
    <n v="0"/>
    <n v="736385.00175039668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368192.50087519834"/>
    <n v="133537.51054598394"/>
    <n v="0"/>
    <m/>
    <n v="0"/>
    <n v="0"/>
    <n v="0"/>
    <n v="0"/>
    <n v="234654.9903292144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5643.20056012695"/>
    <n v="0"/>
    <n v="0"/>
    <m/>
    <n v="0"/>
    <n v="0"/>
    <n v="235643.20056012695"/>
    <n v="0"/>
    <n v="0"/>
    <n v="0"/>
    <n v="235643.20056012695"/>
    <n v="0"/>
    <n v="8.2475120196044429"/>
    <n v="0"/>
    <n v="8.2475120196044429"/>
    <n v="0"/>
    <n v="0"/>
    <n v="0"/>
    <n v="0"/>
    <x v="0"/>
  </r>
  <r>
    <x v="38"/>
    <s v="Græs og urter"/>
    <n v="1"/>
    <n v="1"/>
    <x v="1"/>
    <s v="Vestdanmark"/>
    <n v="2891451.8691946529"/>
    <n v="524651.55817020475"/>
    <n v="0"/>
    <m/>
    <n v="0"/>
    <n v="0"/>
    <n v="0"/>
    <n v="0"/>
    <n v="2366800.3110244479"/>
    <n v="2366800.3110244479"/>
    <n v="0"/>
    <n v="6.423590716132793"/>
    <n v="6.423590716132793"/>
    <n v="0"/>
    <n v="6.423590716132793"/>
    <n v="473360.0622048896"/>
    <n v="473360.0622048896"/>
    <n v="0"/>
    <n v="473360.0622048896"/>
    <x v="0"/>
  </r>
  <r>
    <x v="39"/>
    <s v=""/>
    <n v="0"/>
    <n v="0"/>
    <x v="1"/>
    <s v="Vestdanmark"/>
    <n v="141637.01837439084"/>
    <n v="0"/>
    <n v="0"/>
    <m/>
    <n v="0"/>
    <n v="0"/>
    <n v="0"/>
    <n v="0"/>
    <n v="141637.01837439084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90522.550539010685"/>
    <n v="27571.70194124684"/>
    <n v="0"/>
    <m/>
    <n v="0"/>
    <n v="0"/>
    <n v="0"/>
    <n v="0"/>
    <n v="62950.84859776384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05227.9830927276"/>
    <n v="0"/>
    <n v="0"/>
    <m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  <x v="0"/>
  </r>
  <r>
    <x v="42"/>
    <s v="Husdyrgødning"/>
    <n v="1"/>
    <n v="0"/>
    <x v="1"/>
    <s v="Vestdanmark"/>
    <n v="10497145.511353366"/>
    <n v="0"/>
    <n v="0"/>
    <m/>
    <n v="7872859.1335150246"/>
    <n v="2624286.3778383415"/>
    <n v="0"/>
    <n v="0"/>
    <n v="0"/>
    <n v="0"/>
    <n v="7872859.1335150246"/>
    <n v="0"/>
    <n v="3.3916277147182732"/>
    <n v="3.3916277147182732"/>
    <n v="0"/>
    <n v="0"/>
    <n v="393642.95667575125"/>
    <n v="393642.95667575125"/>
    <n v="0"/>
    <x v="0"/>
  </r>
  <r>
    <x v="43"/>
    <s v=""/>
    <n v="0"/>
    <n v="1"/>
    <x v="1"/>
    <s v="Vestdanmark"/>
    <n v="951875.76678713446"/>
    <n v="0"/>
    <n v="0"/>
    <m/>
    <n v="0"/>
    <n v="0"/>
    <n v="0"/>
    <n v="0"/>
    <n v="951875.76678713446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x v="0"/>
  </r>
  <r>
    <x v="47"/>
    <s v="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m/>
    <n v="0"/>
    <n v="0"/>
    <n v="0"/>
    <n v="0"/>
    <n v="38948.680417674739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669028.68943321821"/>
    <n v="5403.1676876681813"/>
    <n v="0"/>
    <m/>
    <n v="0"/>
    <n v="0"/>
    <n v="0"/>
    <n v="0"/>
    <n v="663625.52174554998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143267380.83343491"/>
    <n v="0"/>
    <n v="0"/>
    <m/>
    <n v="0"/>
    <n v="0"/>
    <n v="143267380.83343491"/>
    <n v="0"/>
    <n v="0"/>
    <n v="0"/>
    <n v="143267380.83343491"/>
    <n v="0"/>
    <n v="0"/>
    <n v="0"/>
    <n v="0"/>
    <n v="0"/>
    <n v="0"/>
    <n v="0"/>
    <n v="0"/>
    <x v="0"/>
  </r>
  <r>
    <x v="4"/>
    <s v=""/>
    <n v="0"/>
    <n v="0"/>
    <x v="2"/>
    <s v="Vestdanmark"/>
    <n v="7170282.0619360534"/>
    <n v="0"/>
    <n v="0"/>
    <m/>
    <n v="0"/>
    <n v="176554.0416515274"/>
    <n v="0"/>
    <n v="0"/>
    <n v="6993728.0202845261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6329623.0926010143"/>
    <n v="0"/>
    <n v="0"/>
    <m/>
    <n v="5696660.7833409132"/>
    <n v="0"/>
    <n v="0"/>
    <n v="0"/>
    <n v="632962.30926010106"/>
    <n v="632962.30926010106"/>
    <n v="5696660.7833409132"/>
    <n v="0.35953909737938478"/>
    <n v="3.5953909737938501"/>
    <n v="3.2358518764144653"/>
    <n v="0.35953909737938483"/>
    <n v="27067.612540795355"/>
    <n v="270676.12540795375"/>
    <n v="243608.51286715837"/>
    <n v="27067.61254079538"/>
    <x v="0"/>
  </r>
  <r>
    <x v="6"/>
    <s v="Husdyrgødning"/>
    <n v="1"/>
    <n v="0"/>
    <x v="2"/>
    <s v="Vestdanmark"/>
    <n v="575834.83314211352"/>
    <n v="0"/>
    <n v="0"/>
    <m/>
    <n v="518251.34982790216"/>
    <n v="21799.461540380005"/>
    <n v="0"/>
    <n v="0"/>
    <n v="35784.021773831337"/>
    <n v="35784.021773831337"/>
    <n v="518251.34982790216"/>
    <n v="7.7078782900832699E-2"/>
    <n v="1.1933921904301341"/>
    <n v="1.1163134075293013"/>
    <n v="7.707878290083281E-2"/>
    <n v="10735.206532149401"/>
    <n v="166210.61148052005"/>
    <n v="155475.40494837065"/>
    <n v="10735.206532149401"/>
    <x v="0"/>
  </r>
  <r>
    <x v="7"/>
    <s v=""/>
    <n v="0"/>
    <n v="0"/>
    <x v="2"/>
    <s v="Vestdanmark"/>
    <n v="4458195.0067192381"/>
    <n v="691266.04395840655"/>
    <n v="0"/>
    <m/>
    <n v="0"/>
    <n v="0"/>
    <n v="0"/>
    <n v="0"/>
    <n v="3766928.9627608317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m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m/>
    <n v="0"/>
    <n v="0"/>
    <n v="0"/>
    <n v="0"/>
    <n v="6001.6248923716248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62819.759709472717"/>
    <n v="0"/>
    <n v="0"/>
    <m/>
    <n v="0"/>
    <n v="0"/>
    <n v="0"/>
    <n v="0"/>
    <n v="62819.759709472717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774671.670329666"/>
    <n v="0"/>
    <n v="0"/>
    <m/>
    <n v="0"/>
    <n v="0"/>
    <n v="0"/>
    <n v="0"/>
    <n v="774671.670329666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34445105.835390486"/>
    <n v="1025176.0247393751"/>
    <n v="0"/>
    <m/>
    <n v="0"/>
    <n v="0"/>
    <n v="0"/>
    <n v="12953227.102583883"/>
    <n v="20466702.708067227"/>
    <n v="20466702.708067227"/>
    <n v="0"/>
    <n v="37.656174645005194"/>
    <n v="37.656174645005194"/>
    <n v="0"/>
    <n v="37.656174645005194"/>
    <n v="5730676.7582588242"/>
    <n v="5730676.7582588242"/>
    <n v="0"/>
    <n v="5730676.7582588242"/>
    <x v="0"/>
  </r>
  <r>
    <x v="14"/>
    <s v=""/>
    <n v="0"/>
    <n v="0"/>
    <x v="2"/>
    <s v="Vestdanmark"/>
    <n v="2165409.00326363"/>
    <n v="2165409.00326363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01754.85239496577"/>
    <n v="0"/>
    <n v="0"/>
    <m/>
    <n v="0"/>
    <n v="0"/>
    <n v="0"/>
    <n v="0"/>
    <n v="301754.85239496577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13186.46186449786"/>
    <n v="64762.968256356122"/>
    <n v="70290.546378545216"/>
    <m/>
    <n v="0"/>
    <n v="0"/>
    <n v="578132.94722959655"/>
    <n v="0"/>
    <n v="0"/>
    <n v="0"/>
    <n v="578132.94722959655"/>
    <n v="0"/>
    <n v="5.9754701808380979"/>
    <n v="0"/>
    <n v="5.9754701808380979"/>
    <n v="0"/>
    <n v="491413.00514515705"/>
    <n v="0"/>
    <n v="491413.00514515705"/>
    <x v="0"/>
  </r>
  <r>
    <x v="17"/>
    <s v="Bionedbrydeligt affald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217306.9698136746"/>
    <n v="0"/>
    <n v="0"/>
    <m/>
    <n v="0"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  <x v="0"/>
  </r>
  <r>
    <x v="20"/>
    <s v=""/>
    <n v="0"/>
    <n v="0"/>
    <x v="2"/>
    <s v="Vestdanmark"/>
    <n v="386762.96576702269"/>
    <n v="0"/>
    <n v="0"/>
    <m/>
    <n v="0"/>
    <n v="0"/>
    <n v="0"/>
    <n v="0"/>
    <n v="386762.96576702269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337126.3206842514"/>
    <n v="0"/>
    <n v="0"/>
    <m/>
    <n v="0"/>
    <n v="0"/>
    <n v="0"/>
    <n v="0"/>
    <n v="2337126.3206842514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82048.93054039421"/>
    <n v="123145.11430255328"/>
    <n v="0"/>
    <m/>
    <n v="0"/>
    <n v="0"/>
    <n v="0"/>
    <n v="0"/>
    <n v="358903.81623784092"/>
    <n v="358903.81623784092"/>
    <n v="0"/>
    <n v="1.2291953240803322"/>
    <n v="1.2291953240803322"/>
    <n v="0"/>
    <n v="1.2291953240803322"/>
    <n v="111260.18303373069"/>
    <n v="111260.18303373069"/>
    <n v="0"/>
    <n v="111260.18303373069"/>
    <x v="0"/>
  </r>
  <r>
    <x v="23"/>
    <s v=""/>
    <n v="0"/>
    <n v="0"/>
    <x v="2"/>
    <s v="Vestdanmark"/>
    <n v="0"/>
    <n v="0"/>
    <n v="0"/>
    <m/>
    <n v="0"/>
    <n v="1065538.7961780522"/>
    <n v="0"/>
    <n v="0"/>
    <n v="-1065538.7961780522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68744.822418311582"/>
    <n v="0"/>
    <n v="0"/>
    <m/>
    <n v="61870.340176480422"/>
    <n v="6874.4822418311569"/>
    <n v="0"/>
    <n v="0"/>
    <n v="0"/>
    <n v="0"/>
    <n v="61870.340176480422"/>
    <n v="0"/>
    <n v="3.1318147493932628E-2"/>
    <n v="3.1318147493932628E-2"/>
    <n v="0"/>
    <n v="0"/>
    <n v="4702.1458534125122"/>
    <n v="4702.1458534125122"/>
    <n v="0"/>
    <x v="0"/>
  </r>
  <r>
    <x v="25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513235.88893477799"/>
    <n v="472676.57715918368"/>
    <n v="0"/>
    <m/>
    <n v="0"/>
    <n v="0"/>
    <n v="0"/>
    <n v="0"/>
    <n v="40559.311775594309"/>
    <n v="40559.311775594309"/>
    <n v="0"/>
    <n v="0.1456079292743836"/>
    <n v="0.1456079292743836"/>
    <n v="0"/>
    <n v="0.1456079292743836"/>
    <n v="12167.793532678292"/>
    <n v="12167.793532678292"/>
    <n v="0"/>
    <n v="12167.793532678292"/>
    <x v="0"/>
  </r>
  <r>
    <x v="27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915.1017916004403"/>
    <n v="0"/>
    <n v="0"/>
    <m/>
    <n v="0"/>
    <n v="0"/>
    <n v="0"/>
    <n v="0"/>
    <n v="3915.1017916004403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90697.791194463221"/>
    <n v="0"/>
    <n v="0"/>
    <m/>
    <n v="0"/>
    <n v="0"/>
    <n v="0"/>
    <n v="0"/>
    <n v="90697.791194463221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15903.5397993135"/>
    <n v="0"/>
    <n v="0"/>
    <m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  <x v="0"/>
  </r>
  <r>
    <x v="32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649292.34846099082"/>
    <n v="0"/>
    <n v="0"/>
    <m/>
    <n v="0"/>
    <n v="0"/>
    <n v="0"/>
    <n v="649292.34846099082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324646.17423049541"/>
    <n v="17935.514963231879"/>
    <n v="0"/>
    <m/>
    <n v="0"/>
    <n v="0"/>
    <n v="0"/>
    <n v="0"/>
    <n v="306710.65926726355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207773.55150751706"/>
    <n v="0"/>
    <n v="0"/>
    <m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  <x v="0"/>
  </r>
  <r>
    <x v="38"/>
    <s v="Græs og urter"/>
    <n v="1"/>
    <n v="1"/>
    <x v="2"/>
    <s v="Vestdanmark"/>
    <n v="2749867.8949207771"/>
    <n v="70466.311926672526"/>
    <n v="0"/>
    <m/>
    <n v="0"/>
    <n v="0"/>
    <n v="0"/>
    <n v="0"/>
    <n v="2679401.5829941044"/>
    <n v="2679401.5829941044"/>
    <n v="0"/>
    <n v="7.2720030723093192"/>
    <n v="7.2720030723093192"/>
    <n v="0"/>
    <n v="7.2720030723093192"/>
    <n v="535880.31659882085"/>
    <n v="535880.31659882085"/>
    <n v="0"/>
    <n v="535880.31659882085"/>
    <x v="0"/>
  </r>
  <r>
    <x v="39"/>
    <s v=""/>
    <n v="0"/>
    <n v="0"/>
    <x v="2"/>
    <s v="Vestdanmark"/>
    <n v="6885.6435501498472"/>
    <n v="0"/>
    <n v="0"/>
    <m/>
    <n v="0"/>
    <n v="0"/>
    <n v="0"/>
    <n v="0"/>
    <n v="6885.6435501498472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618.1462568237339"/>
    <n v="4432.6987357664457"/>
    <n v="0"/>
    <m/>
    <n v="0"/>
    <n v="0"/>
    <n v="0"/>
    <n v="0"/>
    <n v="185.44752105728821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002333.5486616795"/>
    <n v="0"/>
    <n v="0"/>
    <m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  <x v="0"/>
  </r>
  <r>
    <x v="42"/>
    <s v="Husdyrgødning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48971.913359549246"/>
    <n v="0"/>
    <n v="0"/>
    <m/>
    <n v="0"/>
    <n v="0"/>
    <n v="0"/>
    <n v="0"/>
    <n v="48971.913359549246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x v="0"/>
  </r>
  <r>
    <x v="47"/>
    <s v="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  <x v="0"/>
  </r>
  <r>
    <x v="23"/>
    <m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4322.21600404952"/>
    <n v="0"/>
    <n v="0"/>
    <m/>
    <n v="0"/>
    <n v="0"/>
    <n v="0"/>
    <n v="0"/>
    <n v="14322.21600404952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65990.97004737973"/>
    <n v="5130.0675922754808"/>
    <n v="0"/>
    <m/>
    <n v="0"/>
    <n v="0"/>
    <n v="0"/>
    <n v="0"/>
    <n v="160860.90245510425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71864818.658698291"/>
    <n v="0"/>
    <n v="0"/>
    <m/>
    <n v="0"/>
    <n v="0"/>
    <n v="71864818.658698291"/>
    <n v="0"/>
    <n v="0"/>
    <n v="0"/>
    <n v="71864818.658698291"/>
    <n v="0"/>
    <n v="0"/>
    <n v="0"/>
    <n v="0"/>
    <n v="0"/>
    <n v="0"/>
    <n v="0"/>
    <n v="0"/>
    <x v="0"/>
  </r>
  <r>
    <x v="4"/>
    <s v=""/>
    <n v="0"/>
    <n v="0"/>
    <x v="1"/>
    <s v="Østdanmark"/>
    <n v="4144858.0624243855"/>
    <n v="0"/>
    <n v="0"/>
    <m/>
    <n v="0"/>
    <n v="3460535.4285508459"/>
    <n v="0"/>
    <n v="0"/>
    <n v="684322.6338735395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2132472.7123802551"/>
    <n v="0"/>
    <n v="0"/>
    <m/>
    <n v="1599354.5342851914"/>
    <n v="0"/>
    <n v="0"/>
    <n v="0"/>
    <n v="533118.17809506366"/>
    <n v="533118.17809506366"/>
    <n v="1599354.5342851914"/>
    <n v="0.30282502724830679"/>
    <n v="1.2113001089932274"/>
    <n v="0.90847508174492064"/>
    <n v="0.30282502724830673"/>
    <n v="22797.93926434591"/>
    <n v="91191.757057383671"/>
    <n v="68393.817793037757"/>
    <n v="22797.939264345914"/>
    <x v="0"/>
  </r>
  <r>
    <x v="6"/>
    <s v="Husdyrgødning"/>
    <n v="1"/>
    <n v="0"/>
    <x v="1"/>
    <s v="Østdanmark"/>
    <n v="237805.24041385058"/>
    <n v="0"/>
    <n v="0"/>
    <m/>
    <n v="178353.93031038792"/>
    <n v="22506.567396310857"/>
    <n v="0"/>
    <n v="0"/>
    <n v="36944.742707151803"/>
    <n v="36944.742707151803"/>
    <n v="178353.93031038792"/>
    <n v="7.9578975791204987E-2"/>
    <n v="0.46375334167978055"/>
    <n v="0.38417436588857556"/>
    <n v="7.9578975791204987E-2"/>
    <n v="11083.42281214554"/>
    <n v="64589.601905261916"/>
    <n v="53506.179093116378"/>
    <n v="11083.422812145538"/>
    <x v="0"/>
  </r>
  <r>
    <x v="7"/>
    <s v=""/>
    <n v="0"/>
    <n v="0"/>
    <x v="1"/>
    <s v="Østdanmark"/>
    <n v="1501981.8809451428"/>
    <n v="232890.00848399676"/>
    <n v="0"/>
    <m/>
    <n v="0"/>
    <n v="0"/>
    <n v="0"/>
    <n v="0"/>
    <n v="1269091.872461146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541.37976495307191"/>
    <n v="0"/>
    <n v="0"/>
    <m/>
    <n v="406.03482371480391"/>
    <n v="135.34494123826798"/>
    <n v="0"/>
    <n v="0"/>
    <n v="0"/>
    <n v="0"/>
    <n v="406.03482371480391"/>
    <n v="0"/>
    <n v="1.9095411724483514E-4"/>
    <n v="1.9095411724483514E-4"/>
    <n v="0"/>
    <n v="0"/>
    <n v="25.580193894032647"/>
    <n v="25.580193894032647"/>
    <n v="0"/>
    <x v="0"/>
  </r>
  <r>
    <x v="9"/>
    <s v=""/>
    <n v="0"/>
    <n v="1"/>
    <x v="1"/>
    <s v="Østdanmark"/>
    <n v="12283.299585125167"/>
    <n v="0"/>
    <n v="0"/>
    <m/>
    <n v="0"/>
    <n v="0"/>
    <n v="0"/>
    <n v="0"/>
    <n v="12283.299585125167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39925.67708956901"/>
    <n v="0"/>
    <n v="0"/>
    <m/>
    <n v="0"/>
    <n v="0"/>
    <n v="0"/>
    <n v="0"/>
    <n v="239925.67708956901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50209.37360134395"/>
    <n v="0"/>
    <n v="0"/>
    <m/>
    <n v="0"/>
    <n v="0"/>
    <n v="0"/>
    <n v="0"/>
    <n v="150209.37360134395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569596.6515662586"/>
    <n v="973359.07469549077"/>
    <n v="0"/>
    <m/>
    <n v="0"/>
    <n v="0"/>
    <n v="0"/>
    <n v="4363988.6497844672"/>
    <n v="1232248.9270863002"/>
    <n v="0"/>
    <n v="0"/>
    <n v="0"/>
    <n v="0"/>
    <n v="0"/>
    <n v="0"/>
    <n v="0"/>
    <n v="0"/>
    <n v="0"/>
    <n v="0"/>
    <x v="1"/>
  </r>
  <r>
    <x v="14"/>
    <s v=""/>
    <n v="0"/>
    <n v="0"/>
    <x v="1"/>
    <s v="Østdanmark"/>
    <n v="729534.05645906925"/>
    <n v="729534.05645906925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98055.31431785204"/>
    <n v="0"/>
    <n v="0"/>
    <m/>
    <n v="0"/>
    <n v="0"/>
    <n v="0"/>
    <n v="0"/>
    <n v="98055.31431785204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75411.68414554815"/>
    <n v="61489.560168524164"/>
    <n v="70710.376470197152"/>
    <m/>
    <n v="0"/>
    <n v="0"/>
    <n v="543211.74750682688"/>
    <n v="0"/>
    <n v="0"/>
    <n v="0"/>
    <n v="543211.74750682688"/>
    <n v="0"/>
    <n v="5.6145314233733172"/>
    <n v="0"/>
    <n v="5.6145314233733172"/>
    <n v="0"/>
    <n v="461729.98538080283"/>
    <n v="0"/>
    <n v="461729.98538080283"/>
    <x v="0"/>
  </r>
  <r>
    <x v="17"/>
    <s v="Bionedbrydeligt affald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247769.39356957743"/>
    <n v="0"/>
    <m/>
    <n v="0"/>
    <n v="0"/>
    <n v="0"/>
    <n v="0"/>
    <n v="-247769.39356957743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91070.85109932383"/>
    <n v="0"/>
    <n v="0"/>
    <m/>
    <n v="0"/>
    <n v="0"/>
    <n v="0"/>
    <n v="0"/>
    <n v="191070.85109932383"/>
    <n v="191070.85109932383"/>
    <n v="0"/>
    <n v="0.82793483702401316"/>
    <n v="0.82793483702401316"/>
    <n v="0"/>
    <n v="0.82793483702401316"/>
    <n v="80249.757461715999"/>
    <n v="80249.757461715999"/>
    <n v="0"/>
    <n v="80249.757461715999"/>
    <x v="0"/>
  </r>
  <r>
    <x v="20"/>
    <s v=""/>
    <n v="0"/>
    <n v="0"/>
    <x v="1"/>
    <s v="Østdanmark"/>
    <n v="205340.3536719332"/>
    <n v="0"/>
    <n v="0"/>
    <m/>
    <n v="0"/>
    <n v="0"/>
    <n v="0"/>
    <n v="0"/>
    <n v="205340.3536719332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757571.37538443948"/>
    <n v="0"/>
    <n v="0"/>
    <m/>
    <n v="0"/>
    <n v="0"/>
    <n v="0"/>
    <n v="0"/>
    <n v="757571.37538443948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426697.7169863379"/>
    <n v="343178.29580461275"/>
    <n v="0"/>
    <m/>
    <n v="0"/>
    <n v="0"/>
    <n v="0"/>
    <n v="0"/>
    <n v="1083519.4211817251"/>
    <n v="1083519.4211817251"/>
    <n v="0"/>
    <n v="3.7109023248284436"/>
    <n v="3.7109023248284436"/>
    <n v="0"/>
    <n v="3.7109023248284436"/>
    <n v="335891.02056633477"/>
    <n v="335891.02056633477"/>
    <n v="0"/>
    <n v="335891.02056633477"/>
    <x v="0"/>
  </r>
  <r>
    <x v="23"/>
    <s v=""/>
    <n v="0"/>
    <n v="0"/>
    <x v="1"/>
    <s v="Østdanmark"/>
    <n v="0"/>
    <n v="0"/>
    <n v="0"/>
    <m/>
    <n v="0"/>
    <n v="341428.57128038822"/>
    <n v="0"/>
    <n v="0"/>
    <n v="-341428.57128038822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431286.20272258902"/>
    <n v="0"/>
    <n v="0"/>
    <m/>
    <n v="323464.65204194176"/>
    <n v="107821.55068064725"/>
    <n v="0"/>
    <n v="0"/>
    <n v="0"/>
    <n v="0"/>
    <n v="323464.65204194176"/>
    <n v="0"/>
    <n v="0.16373457221711052"/>
    <n v="0.16373457221711052"/>
    <n v="0"/>
    <n v="0"/>
    <n v="24583.313555187575"/>
    <n v="24583.313555187575"/>
    <n v="0"/>
    <x v="0"/>
  </r>
  <r>
    <x v="25"/>
    <s v=""/>
    <n v="0"/>
    <n v="0"/>
    <x v="1"/>
    <s v="Østdanmark"/>
    <n v="50222.397196773512"/>
    <n v="77778.444140950829"/>
    <n v="0"/>
    <m/>
    <n v="0"/>
    <n v="0"/>
    <n v="0"/>
    <n v="0"/>
    <n v="-27556.046944177317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224051.0749297491"/>
    <n v="449536.54854955326"/>
    <n v="0"/>
    <m/>
    <n v="0"/>
    <n v="0"/>
    <n v="0"/>
    <n v="0"/>
    <n v="774514.52638019586"/>
    <n v="774514.52638019586"/>
    <n v="0"/>
    <n v="2.7805071497049036"/>
    <n v="2.7805071497049036"/>
    <n v="0"/>
    <n v="2.7805071497049036"/>
    <n v="232354.35791405875"/>
    <n v="232354.35791405875"/>
    <n v="0"/>
    <n v="232354.35791405875"/>
    <x v="0"/>
  </r>
  <r>
    <x v="27"/>
    <s v=""/>
    <n v="0"/>
    <n v="1"/>
    <x v="1"/>
    <s v="Østdanmark"/>
    <n v="96903.161700864599"/>
    <n v="0"/>
    <n v="0"/>
    <m/>
    <n v="0"/>
    <n v="0"/>
    <n v="0"/>
    <n v="0"/>
    <n v="96903.16170086459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251.0678007025454"/>
    <n v="0"/>
    <n v="0"/>
    <m/>
    <n v="0"/>
    <n v="0"/>
    <n v="0"/>
    <n v="0"/>
    <n v="6251.0678007025454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11483.30240974069"/>
    <n v="0"/>
    <n v="0"/>
    <m/>
    <n v="0"/>
    <n v="0"/>
    <n v="0"/>
    <n v="0"/>
    <n v="311483.30240974069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72470.87062579964"/>
    <n v="0"/>
    <n v="0"/>
    <m/>
    <n v="0"/>
    <n v="0"/>
    <n v="272470.87062579964"/>
    <n v="0"/>
    <n v="0"/>
    <n v="0"/>
    <n v="272470.87062579964"/>
    <n v="0"/>
    <n v="5.0134640195147124"/>
    <n v="0"/>
    <n v="5.0134640195147124"/>
    <n v="0"/>
    <n v="113075.41130970686"/>
    <n v="0"/>
    <n v="113075.41130970686"/>
    <x v="0"/>
  </r>
  <r>
    <x v="32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150898.00912578267"/>
    <n v="0"/>
    <n v="0"/>
    <m/>
    <n v="0"/>
    <n v="0"/>
    <n v="0"/>
    <n v="0"/>
    <n v="150898.00912578267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5804.31636026004"/>
    <n v="0"/>
    <n v="0"/>
    <m/>
    <n v="0"/>
    <n v="0"/>
    <n v="0"/>
    <n v="225804.31636026004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12902.15818013002"/>
    <n v="17028.97436880333"/>
    <n v="0"/>
    <m/>
    <n v="0"/>
    <n v="0"/>
    <n v="0"/>
    <n v="0"/>
    <n v="95873.18381132668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2257.381235283217"/>
    <n v="0"/>
    <n v="0"/>
    <m/>
    <n v="0"/>
    <n v="0"/>
    <n v="72257.381235283217"/>
    <n v="0"/>
    <n v="0"/>
    <n v="0"/>
    <n v="72257.381235283217"/>
    <n v="0"/>
    <n v="2.5290083432349122"/>
    <n v="0"/>
    <n v="2.5290083432349122"/>
    <n v="0"/>
    <n v="0"/>
    <n v="0"/>
    <n v="0"/>
    <x v="0"/>
  </r>
  <r>
    <x v="38"/>
    <s v="Græs og urter"/>
    <n v="1"/>
    <n v="1"/>
    <x v="1"/>
    <s v="Østdanmark"/>
    <n v="898519.08431343141"/>
    <n v="66904.631515926056"/>
    <n v="0"/>
    <m/>
    <n v="0"/>
    <n v="0"/>
    <n v="0"/>
    <n v="0"/>
    <n v="831614.45279750531"/>
    <n v="831614.45279750531"/>
    <n v="0"/>
    <n v="2.2570348894705412"/>
    <n v="2.2570348894705412"/>
    <n v="0"/>
    <n v="2.2570348894705412"/>
    <n v="166322.89055950107"/>
    <n v="166322.89055950107"/>
    <n v="0"/>
    <n v="166322.89055950107"/>
    <x v="0"/>
  </r>
  <r>
    <x v="39"/>
    <s v=""/>
    <n v="0"/>
    <n v="0"/>
    <x v="1"/>
    <s v="Østdanmark"/>
    <n v="16250.349472544192"/>
    <n v="0"/>
    <n v="0"/>
    <m/>
    <n v="0"/>
    <n v="0"/>
    <n v="0"/>
    <n v="0"/>
    <n v="16250.349472544192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2700.787430000357"/>
    <n v="3515.9993902993874"/>
    <n v="0"/>
    <m/>
    <n v="0"/>
    <n v="0"/>
    <n v="0"/>
    <n v="0"/>
    <n v="9184.7880397009685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9172.5135239428"/>
    <n v="0"/>
    <n v="0"/>
    <m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  <x v="0"/>
  </r>
  <r>
    <x v="42"/>
    <s v="Husdyrgødning"/>
    <n v="1"/>
    <n v="0"/>
    <x v="1"/>
    <s v="Østdanmark"/>
    <n v="1521006.1015498589"/>
    <n v="0"/>
    <n v="0"/>
    <m/>
    <n v="1140754.5761623941"/>
    <n v="380251.52538746473"/>
    <n v="0"/>
    <n v="0"/>
    <n v="0"/>
    <n v="0"/>
    <n v="1140754.5761623941"/>
    <n v="0"/>
    <n v="0.49143707141075949"/>
    <n v="0.49143707141075949"/>
    <n v="0"/>
    <n v="0"/>
    <n v="57037.728808119711"/>
    <n v="57037.728808119711"/>
    <n v="0"/>
    <x v="0"/>
  </r>
  <r>
    <x v="43"/>
    <s v=""/>
    <n v="0"/>
    <n v="1"/>
    <x v="1"/>
    <s v="Østdanmark"/>
    <n v="137924.05255645732"/>
    <n v="0"/>
    <n v="0"/>
    <m/>
    <n v="0"/>
    <n v="0"/>
    <n v="0"/>
    <n v="0"/>
    <n v="137924.05255645732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x v="0"/>
  </r>
  <r>
    <x v="47"/>
    <s v="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m/>
    <n v="0"/>
    <n v="0"/>
    <n v="0"/>
    <n v="0"/>
    <n v="3268.9483710154163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22547.77389902543"/>
    <n v="724.66280069904622"/>
    <n v="0"/>
    <m/>
    <n v="0"/>
    <n v="0"/>
    <n v="0"/>
    <n v="0"/>
    <n v="221823.1110983263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34982106.843700282"/>
    <n v="0"/>
    <n v="0"/>
    <m/>
    <n v="0"/>
    <n v="0"/>
    <n v="34982106.843700282"/>
    <n v="0"/>
    <n v="0"/>
    <n v="0"/>
    <n v="34982106.843700282"/>
    <n v="0"/>
    <n v="0"/>
    <n v="0"/>
    <n v="0"/>
    <n v="0"/>
    <n v="0"/>
    <n v="0"/>
    <n v="0"/>
    <x v="0"/>
  </r>
  <r>
    <x v="4"/>
    <s v=""/>
    <n v="0"/>
    <n v="0"/>
    <x v="2"/>
    <s v="Østdanmark"/>
    <n v="1991891.0696177674"/>
    <n v="0"/>
    <n v="0"/>
    <m/>
    <n v="0"/>
    <n v="49046.385600017013"/>
    <n v="0"/>
    <n v="0"/>
    <n v="1942844.6840177504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848917.27645660576"/>
    <n v="0"/>
    <n v="0"/>
    <m/>
    <n v="764025.54881094524"/>
    <n v="0"/>
    <n v="0"/>
    <n v="0"/>
    <n v="84891.727645660518"/>
    <n v="84891.727645660518"/>
    <n v="764025.54881094524"/>
    <n v="4.822071501915462E-2"/>
    <n v="0.48220715019154659"/>
    <n v="0.43398643517239194"/>
    <n v="4.8220715019154647E-2"/>
    <n v="3630.2578498196654"/>
    <n v="36302.578498196679"/>
    <n v="32672.320648377012"/>
    <n v="3630.2578498196672"/>
    <x v="0"/>
  </r>
  <r>
    <x v="6"/>
    <s v="Husdyrgødning"/>
    <n v="1"/>
    <n v="0"/>
    <x v="2"/>
    <s v="Østdanmark"/>
    <n v="81826.264655313833"/>
    <n v="0"/>
    <n v="0"/>
    <m/>
    <n v="73643.638189782447"/>
    <n v="3097.7085905225945"/>
    <n v="0"/>
    <n v="0"/>
    <n v="5084.9178750087885"/>
    <n v="5084.9178750087885"/>
    <n v="73643.638189782447"/>
    <n v="1.095291310276893E-2"/>
    <n v="0.16958130976356034"/>
    <n v="0.1586283966607914"/>
    <n v="1.0952913102768941E-2"/>
    <n v="1525.4753625026365"/>
    <n v="23618.566819437368"/>
    <n v="22093.091456934733"/>
    <n v="1525.4753625026351"/>
    <x v="0"/>
  </r>
  <r>
    <x v="7"/>
    <s v=""/>
    <n v="0"/>
    <n v="0"/>
    <x v="2"/>
    <s v="Østdanmark"/>
    <n v="597924.82232323941"/>
    <n v="92711.316101913326"/>
    <n v="0"/>
    <m/>
    <n v="0"/>
    <n v="0"/>
    <n v="0"/>
    <n v="0"/>
    <n v="505213.50622132607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m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m/>
    <n v="0"/>
    <n v="0"/>
    <n v="0"/>
    <n v="0"/>
    <n v="503.71416194271836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20896.559297118682"/>
    <n v="0"/>
    <n v="0"/>
    <m/>
    <n v="0"/>
    <n v="0"/>
    <n v="0"/>
    <n v="0"/>
    <n v="20896.55929711868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257689.18202978774"/>
    <n v="0"/>
    <n v="0"/>
    <m/>
    <n v="0"/>
    <n v="0"/>
    <n v="0"/>
    <n v="0"/>
    <n v="257689.18202978774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1397047.281261299"/>
    <n v="137494.70167152316"/>
    <n v="0"/>
    <m/>
    <n v="0"/>
    <n v="0"/>
    <n v="0"/>
    <n v="1737262.7267654187"/>
    <n v="9522289.8528243564"/>
    <n v="9522289.8528243564"/>
    <n v="0"/>
    <n v="17.519823042965214"/>
    <n v="17.519823042965214"/>
    <n v="0"/>
    <n v="17.519823042965214"/>
    <n v="2666241.1587908203"/>
    <n v="2666241.1587908203"/>
    <n v="0"/>
    <n v="2666241.1587908203"/>
    <x v="0"/>
  </r>
  <r>
    <x v="14"/>
    <s v=""/>
    <n v="0"/>
    <n v="0"/>
    <x v="2"/>
    <s v="Østdanmark"/>
    <n v="290420.62798557343"/>
    <n v="290420.62798557343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00376.66803290648"/>
    <n v="0"/>
    <n v="0"/>
    <m/>
    <n v="0"/>
    <n v="0"/>
    <n v="0"/>
    <n v="0"/>
    <n v="100376.66803290648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37236.55198901493"/>
    <n v="8685.8888472677336"/>
    <n v="9665.8931514547894"/>
    <m/>
    <n v="0"/>
    <n v="0"/>
    <n v="218884.76999029241"/>
    <n v="0"/>
    <n v="0"/>
    <n v="0"/>
    <n v="218884.76999029241"/>
    <n v="0"/>
    <n v="2.2623505932056318"/>
    <n v="0"/>
    <n v="2.2623505932056318"/>
    <n v="0"/>
    <n v="186052.05449174854"/>
    <n v="0"/>
    <n v="186052.05449174854"/>
    <x v="0"/>
  </r>
  <r>
    <x v="17"/>
    <s v="Bionedbrydeligt affald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68748.58777288889"/>
    <n v="0"/>
    <n v="0"/>
    <m/>
    <n v="0"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  <x v="0"/>
  </r>
  <r>
    <x v="20"/>
    <s v=""/>
    <n v="0"/>
    <n v="0"/>
    <x v="2"/>
    <s v="Østdanmark"/>
    <n v="128654.0299653736"/>
    <n v="0"/>
    <n v="0"/>
    <m/>
    <n v="0"/>
    <n v="0"/>
    <n v="0"/>
    <n v="0"/>
    <n v="128654.0299653736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777428.93272593827"/>
    <n v="0"/>
    <n v="0"/>
    <m/>
    <n v="0"/>
    <n v="0"/>
    <n v="0"/>
    <n v="0"/>
    <n v="777428.93272593827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60350.24819795735"/>
    <n v="16515.993687659306"/>
    <n v="0"/>
    <m/>
    <n v="0"/>
    <n v="0"/>
    <n v="0"/>
    <n v="0"/>
    <n v="143834.25451029805"/>
    <n v="143834.25451029805"/>
    <n v="0"/>
    <n v="0.49261218490213948"/>
    <n v="0.49261218490213948"/>
    <n v="0"/>
    <n v="0.49261218490213948"/>
    <n v="44588.618898192399"/>
    <n v="44588.618898192399"/>
    <n v="0"/>
    <n v="44588.618898192399"/>
    <x v="0"/>
  </r>
  <r>
    <x v="23"/>
    <s v=""/>
    <n v="0"/>
    <n v="0"/>
    <x v="2"/>
    <s v="Østdanmark"/>
    <n v="0"/>
    <n v="0"/>
    <n v="0"/>
    <m/>
    <n v="0"/>
    <n v="354450.69932080351"/>
    <n v="0"/>
    <n v="0"/>
    <n v="-354450.69932080351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4885.9701831397151"/>
    <n v="0"/>
    <n v="0"/>
    <m/>
    <n v="4397.3731648257435"/>
    <n v="488.59701831397138"/>
    <n v="0"/>
    <n v="0"/>
    <n v="0"/>
    <n v="0"/>
    <n v="4397.3731648257435"/>
    <n v="0"/>
    <n v="2.2259063223031435E-3"/>
    <n v="2.2259063223031435E-3"/>
    <n v="0"/>
    <n v="0"/>
    <n v="334.20036052675653"/>
    <n v="334.20036052675653"/>
    <n v="0"/>
    <x v="0"/>
  </r>
  <r>
    <x v="25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70724.37456200234"/>
    <n v="63394.503378227986"/>
    <n v="0"/>
    <m/>
    <n v="0"/>
    <n v="0"/>
    <n v="0"/>
    <n v="0"/>
    <n v="107329.87118377435"/>
    <n v="107329.87118377435"/>
    <n v="0"/>
    <n v="0.38531423754974992"/>
    <n v="0.38531423754974992"/>
    <n v="0"/>
    <n v="0.38531423754974992"/>
    <n v="32198.961355132302"/>
    <n v="32198.961355132302"/>
    <n v="0"/>
    <n v="32198.961355132302"/>
    <x v="0"/>
  </r>
  <r>
    <x v="27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78.2619831544028"/>
    <n v="0"/>
    <n v="0"/>
    <m/>
    <n v="0"/>
    <n v="0"/>
    <n v="0"/>
    <n v="0"/>
    <n v="278.2619831544028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30169.993972883625"/>
    <n v="0"/>
    <n v="0"/>
    <m/>
    <n v="0"/>
    <n v="0"/>
    <n v="0"/>
    <n v="0"/>
    <n v="30169.993972883625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437726.22620455944"/>
    <n v="0"/>
    <n v="0"/>
    <m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  <x v="0"/>
  </r>
  <r>
    <x v="32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15982.61635398451"/>
    <n v="0"/>
    <n v="0"/>
    <m/>
    <n v="0"/>
    <n v="0"/>
    <n v="0"/>
    <n v="215982.6163539845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7991.30817699226"/>
    <n v="2405.4779078760002"/>
    <n v="0"/>
    <m/>
    <n v="0"/>
    <n v="0"/>
    <n v="0"/>
    <n v="0"/>
    <n v="105585.83026911625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9114.43723327505"/>
    <n v="0"/>
    <n v="0"/>
    <m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  <x v="0"/>
  </r>
  <r>
    <x v="38"/>
    <s v="Græs og urter"/>
    <n v="1"/>
    <n v="1"/>
    <x v="2"/>
    <s v="Østdanmark"/>
    <n v="914724.5674164847"/>
    <n v="9450.8106924500589"/>
    <n v="0"/>
    <m/>
    <n v="0"/>
    <n v="0"/>
    <n v="0"/>
    <n v="0"/>
    <n v="905273.75672403467"/>
    <n v="905273.75672403467"/>
    <n v="0"/>
    <n v="2.456949186699299"/>
    <n v="2.456949186699299"/>
    <n v="0"/>
    <n v="2.456949186699299"/>
    <n v="181054.75134480695"/>
    <n v="181054.75134480695"/>
    <n v="0"/>
    <n v="181054.75134480695"/>
    <x v="0"/>
  </r>
  <r>
    <x v="39"/>
    <s v=""/>
    <n v="0"/>
    <n v="0"/>
    <x v="2"/>
    <s v="Østdanmark"/>
    <n v="807.52489656472994"/>
    <n v="0"/>
    <n v="0"/>
    <m/>
    <n v="0"/>
    <n v="0"/>
    <n v="0"/>
    <n v="0"/>
    <n v="807.52489656472994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650.65285036970454"/>
    <n v="594.50530988460082"/>
    <n v="0"/>
    <m/>
    <n v="0"/>
    <n v="0"/>
    <n v="0"/>
    <n v="0"/>
    <n v="56.1475404851037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491788.2152479719"/>
    <n v="0"/>
    <n v="0"/>
    <m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  <x v="0"/>
  </r>
  <r>
    <x v="42"/>
    <s v="Husdyrgødning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7095.888967518189"/>
    <n v="0"/>
    <n v="0"/>
    <m/>
    <n v="0"/>
    <n v="0"/>
    <n v="0"/>
    <n v="0"/>
    <n v="7095.888967518189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x v="0"/>
  </r>
  <r>
    <x v="47"/>
    <s v="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70645.52593143433"/>
    <n v="0"/>
    <n v="0"/>
    <m/>
    <n v="0"/>
    <n v="0"/>
    <n v="0"/>
    <n v="0"/>
    <n v="170645.52593143433"/>
    <n v="0"/>
    <n v="0"/>
    <n v="0"/>
    <n v="0"/>
    <n v="0"/>
    <n v="0"/>
    <n v="0"/>
    <n v="0"/>
    <n v="0"/>
    <n v="0"/>
  </r>
  <r>
    <x v="1"/>
    <x v="10"/>
    <n v="0"/>
    <n v="1"/>
    <x v="1"/>
    <s v="Vestdanmark"/>
    <n v="545577.01129372371"/>
    <n v="40228.873469919854"/>
    <n v="0"/>
    <m/>
    <n v="0"/>
    <n v="0"/>
    <n v="0"/>
    <n v="0"/>
    <n v="505348.1378238038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57487622.60657209"/>
    <n v="0"/>
    <n v="0"/>
    <m/>
    <n v="0"/>
    <n v="0"/>
    <n v="457487622.60657209"/>
    <n v="0"/>
    <n v="0"/>
    <n v="0"/>
    <n v="457487622.60657209"/>
    <n v="0"/>
    <n v="0"/>
    <n v="0"/>
    <n v="0"/>
    <n v="0"/>
    <n v="0"/>
    <n v="0"/>
    <n v="0"/>
  </r>
  <r>
    <x v="4"/>
    <x v="10"/>
    <n v="0"/>
    <n v="0"/>
    <x v="1"/>
    <s v="Vestdanmark"/>
    <n v="25538906.878535587"/>
    <n v="0"/>
    <n v="0"/>
    <m/>
    <n v="0"/>
    <n v="21322392.885014642"/>
    <n v="0"/>
    <n v="0"/>
    <n v="4216513.9935209453"/>
    <n v="0"/>
    <n v="0"/>
    <n v="0"/>
    <n v="0"/>
    <n v="0"/>
    <n v="0"/>
    <n v="0"/>
    <n v="0"/>
    <n v="0"/>
    <n v="0"/>
  </r>
  <r>
    <x v="5"/>
    <x v="1"/>
    <n v="1"/>
    <n v="0"/>
    <x v="1"/>
    <s v="Vestdanmark"/>
    <n v="16722386.865540422"/>
    <n v="0"/>
    <n v="0"/>
    <m/>
    <n v="12541790.149155317"/>
    <n v="0"/>
    <n v="0"/>
    <n v="0"/>
    <n v="4180596.7163851056"/>
    <n v="4180596.7163851056"/>
    <n v="12541790.149155317"/>
    <n v="2.3746879520730859"/>
    <n v="9.4987518082923437"/>
    <n v="7.1240638562192586"/>
    <n v="2.374687952073085"/>
    <n v="178776.47760845334"/>
    <n v="715105.91043381335"/>
    <n v="536329.43282535998"/>
    <n v="178776.47760845337"/>
  </r>
  <r>
    <x v="6"/>
    <x v="2"/>
    <n v="1"/>
    <n v="0"/>
    <x v="1"/>
    <s v="Vestdanmark"/>
    <n v="1772243.3904723523"/>
    <n v="0"/>
    <n v="0"/>
    <m/>
    <n v="1329182.5428542641"/>
    <n v="167730.1780268476"/>
    <n v="0"/>
    <n v="0"/>
    <n v="275330.66959124058"/>
    <n v="275330.66959124058"/>
    <n v="1329182.5428542641"/>
    <n v="0.59306226229953218"/>
    <n v="3.4561214596076173"/>
    <n v="2.8630591973080852"/>
    <n v="0.59306226229953207"/>
    <n v="82599.200877372175"/>
    <n v="481353.96373365138"/>
    <n v="398754.76285627921"/>
    <n v="82599.200877372175"/>
  </r>
  <r>
    <x v="7"/>
    <x v="10"/>
    <n v="0"/>
    <n v="0"/>
    <x v="1"/>
    <s v="Vestdanmark"/>
    <n v="11778214.995380456"/>
    <n v="1826272.75668226"/>
    <n v="0"/>
    <m/>
    <n v="0"/>
    <n v="0"/>
    <n v="0"/>
    <n v="0"/>
    <n v="9951942.2386981957"/>
    <n v="0"/>
    <n v="0"/>
    <n v="0"/>
    <n v="0"/>
    <n v="0"/>
    <n v="0"/>
    <n v="0"/>
    <n v="0"/>
    <n v="0"/>
    <n v="0"/>
  </r>
  <r>
    <x v="8"/>
    <x v="2"/>
    <n v="1"/>
    <n v="0"/>
    <x v="1"/>
    <s v="Vestdanmark"/>
    <n v="6450.400880208218"/>
    <n v="0"/>
    <n v="0"/>
    <m/>
    <n v="4837.8006601561638"/>
    <n v="1612.6002200520545"/>
    <n v="0"/>
    <n v="0"/>
    <n v="0"/>
    <n v="0"/>
    <n v="4837.8006601561638"/>
    <n v="0"/>
    <n v="2.2751692724648424E-3"/>
    <n v="2.2751692724648424E-3"/>
    <n v="0"/>
    <n v="0"/>
    <n v="304.78144158983832"/>
    <n v="304.78144158983832"/>
    <n v="0"/>
  </r>
  <r>
    <x v="9"/>
    <x v="10"/>
    <n v="0"/>
    <n v="1"/>
    <x v="1"/>
    <s v="Vestdanmark"/>
    <n v="146352.36036688712"/>
    <n v="0"/>
    <n v="0"/>
    <m/>
    <n v="0"/>
    <n v="0"/>
    <n v="0"/>
    <n v="0"/>
    <n v="146352.36036688712"/>
    <n v="0"/>
    <n v="0"/>
    <n v="0"/>
    <n v="0"/>
    <n v="0"/>
    <n v="0"/>
    <n v="0"/>
    <n v="0"/>
    <n v="0"/>
    <n v="0"/>
  </r>
  <r>
    <x v="10"/>
    <x v="10"/>
    <n v="0"/>
    <n v="0"/>
    <x v="1"/>
    <s v="Vestdanmark"/>
    <n v="749561.48395824642"/>
    <n v="0"/>
    <n v="0"/>
    <m/>
    <n v="0"/>
    <n v="0"/>
    <n v="0"/>
    <n v="0"/>
    <n v="749561.48395824642"/>
    <n v="0"/>
    <n v="0"/>
    <n v="0"/>
    <n v="0"/>
    <n v="0"/>
    <n v="0"/>
    <n v="0"/>
    <n v="0"/>
    <n v="0"/>
    <n v="0"/>
  </r>
  <r>
    <x v="11"/>
    <x v="10"/>
    <n v="0"/>
    <n v="1"/>
    <x v="1"/>
    <s v="Vestdanmark"/>
    <n v="488405.10801459721"/>
    <n v="0"/>
    <n v="0"/>
    <m/>
    <n v="0"/>
    <n v="0"/>
    <n v="0"/>
    <n v="0"/>
    <n v="488405.10801459721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3233296.600181103"/>
    <n v="7632870.0065635424"/>
    <n v="0"/>
    <m/>
    <n v="0"/>
    <n v="0"/>
    <n v="0"/>
    <n v="34221449.144391388"/>
    <n v="-18621022.550773829"/>
    <n v="0"/>
    <n v="0"/>
    <n v="0"/>
    <n v="0"/>
    <n v="0"/>
    <n v="0"/>
    <n v="0"/>
    <n v="0"/>
    <n v="0"/>
    <n v="0"/>
  </r>
  <r>
    <x v="14"/>
    <x v="10"/>
    <n v="0"/>
    <n v="0"/>
    <x v="1"/>
    <s v="Vestdanmark"/>
    <n v="5720847.2834705068"/>
    <n v="5720847.2834705068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318920.65280775877"/>
    <n v="0"/>
    <n v="0"/>
    <m/>
    <n v="0"/>
    <n v="0"/>
    <n v="0"/>
    <n v="0"/>
    <n v="318920.65280775877"/>
    <n v="0"/>
    <n v="0"/>
    <n v="0"/>
    <n v="0"/>
    <n v="0"/>
    <n v="0"/>
    <n v="0"/>
    <n v="0"/>
    <n v="0"/>
    <n v="0"/>
  </r>
  <r>
    <x v="16"/>
    <x v="5"/>
    <n v="1"/>
    <n v="0"/>
    <x v="1"/>
    <s v="Vestdanmark"/>
    <n v="2213317.1484140675"/>
    <n v="482187.74728528934"/>
    <n v="496834.86508299207"/>
    <m/>
    <n v="0"/>
    <n v="0"/>
    <n v="1234294.536045786"/>
    <n v="0"/>
    <n v="0"/>
    <n v="0"/>
    <n v="1234294.536045786"/>
    <n v="0"/>
    <n v="12.757429290020946"/>
    <n v="0"/>
    <n v="12.757429290020946"/>
    <n v="0"/>
    <n v="1049150.355638918"/>
    <n v="0"/>
    <n v="1049150.355638918"/>
  </r>
  <r>
    <x v="17"/>
    <x v="1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1942953.6559396773"/>
    <n v="0"/>
    <m/>
    <n v="0"/>
    <n v="0"/>
    <n v="0"/>
    <n v="0"/>
    <n v="-1942953.6559396773"/>
    <n v="0"/>
    <n v="0"/>
    <n v="0"/>
    <n v="0"/>
    <n v="0"/>
    <n v="0"/>
    <n v="0"/>
    <n v="0"/>
    <n v="0"/>
    <n v="0"/>
  </r>
  <r>
    <x v="19"/>
    <x v="1"/>
    <n v="1"/>
    <n v="0"/>
    <x v="1"/>
    <s v="Vestdanmark"/>
    <n v="421188.13344095187"/>
    <n v="0"/>
    <n v="0"/>
    <m/>
    <n v="0"/>
    <n v="0"/>
    <n v="0"/>
    <n v="0"/>
    <n v="421188.13344095187"/>
    <n v="421188.13344095187"/>
    <n v="0"/>
    <n v="1.8250629366569919"/>
    <n v="1.8250629366569919"/>
    <n v="0"/>
    <n v="1.8250629366569919"/>
    <n v="176899.01604519979"/>
    <n v="176899.01604519979"/>
    <n v="0"/>
    <n v="176899.01604519979"/>
  </r>
  <r>
    <x v="20"/>
    <x v="10"/>
    <n v="0"/>
    <n v="0"/>
    <x v="1"/>
    <s v="Vestdanmark"/>
    <n v="682243.34675238712"/>
    <n v="0"/>
    <n v="0"/>
    <m/>
    <n v="0"/>
    <n v="0"/>
    <n v="0"/>
    <n v="0"/>
    <n v="682243.34675238712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537122.9309529141"/>
    <n v="0"/>
    <n v="0"/>
    <m/>
    <n v="0"/>
    <n v="0"/>
    <n v="0"/>
    <n v="0"/>
    <n v="2537122.9309529141"/>
    <n v="0"/>
    <n v="0"/>
    <n v="0"/>
    <n v="0"/>
    <n v="0"/>
    <n v="0"/>
    <n v="0"/>
    <n v="0"/>
    <n v="0"/>
    <n v="0"/>
  </r>
  <r>
    <x v="22"/>
    <x v="5"/>
    <n v="1"/>
    <n v="1"/>
    <x v="1"/>
    <s v="Vestdanmark"/>
    <n v="4698307.4709618408"/>
    <n v="2691129.5009707427"/>
    <n v="0"/>
    <m/>
    <n v="0"/>
    <n v="0"/>
    <n v="0"/>
    <n v="0"/>
    <n v="2007177.9699910982"/>
    <n v="2007177.9699910982"/>
    <n v="0"/>
    <n v="6.8743035423037133"/>
    <n v="6.8743035423037133"/>
    <n v="0"/>
    <n v="6.8743035423037133"/>
    <n v="622225.17069724039"/>
    <n v="622225.17069724039"/>
    <n v="0"/>
    <n v="622225.17069724039"/>
  </r>
  <r>
    <x v="23"/>
    <x v="10"/>
    <n v="0"/>
    <n v="0"/>
    <x v="1"/>
    <s v="Vestdanmark"/>
    <n v="0"/>
    <n v="0"/>
    <n v="0"/>
    <m/>
    <n v="0"/>
    <n v="588433.36945369444"/>
    <n v="0"/>
    <n v="0"/>
    <n v="-588433.36945369444"/>
    <n v="0"/>
    <n v="0"/>
    <n v="0"/>
    <n v="0"/>
    <n v="0"/>
    <n v="0"/>
    <n v="0"/>
    <n v="0"/>
    <n v="0"/>
    <n v="0"/>
  </r>
  <r>
    <x v="24"/>
    <x v="2"/>
    <n v="1"/>
    <n v="0"/>
    <x v="1"/>
    <s v="Vestdanmark"/>
    <n v="6068128.1928290678"/>
    <n v="0"/>
    <n v="0"/>
    <m/>
    <n v="4551096.1446218006"/>
    <n v="1517032.048207267"/>
    <n v="0"/>
    <n v="0"/>
    <n v="0"/>
    <n v="0"/>
    <n v="4551096.1446218006"/>
    <n v="0"/>
    <n v="2.3037193574461097"/>
    <n v="2.3037193574461097"/>
    <n v="0"/>
    <n v="0"/>
    <n v="345883.30699125683"/>
    <n v="345883.30699125683"/>
    <n v="0"/>
  </r>
  <r>
    <x v="25"/>
    <x v="10"/>
    <n v="0"/>
    <n v="0"/>
    <x v="1"/>
    <s v="Vestdanmark"/>
    <n v="706621.13097372942"/>
    <n v="609921.6300278171"/>
    <n v="0"/>
    <m/>
    <n v="0"/>
    <n v="0"/>
    <n v="0"/>
    <n v="0"/>
    <n v="96699.500945912325"/>
    <n v="0"/>
    <n v="0"/>
    <n v="0"/>
    <n v="0"/>
    <n v="0"/>
    <n v="0"/>
    <n v="0"/>
    <n v="0"/>
    <n v="0"/>
    <n v="0"/>
  </r>
  <r>
    <x v="26"/>
    <x v="4"/>
    <n v="1"/>
    <n v="1"/>
    <x v="1"/>
    <s v="Vestdanmark"/>
    <n v="4171283.8969927602"/>
    <n v="3525167.7695113975"/>
    <n v="0"/>
    <m/>
    <n v="0"/>
    <n v="0"/>
    <n v="0"/>
    <n v="0"/>
    <n v="646116.12748136278"/>
    <n v="646116.12748136278"/>
    <n v="0"/>
    <n v="2.3195568976580927"/>
    <n v="2.3195568976580927"/>
    <n v="0"/>
    <n v="2.3195568976580927"/>
    <n v="193834.83824440883"/>
    <n v="193834.83824440883"/>
    <n v="0"/>
    <n v="193834.83824440883"/>
  </r>
  <r>
    <x v="27"/>
    <x v="10"/>
    <n v="0"/>
    <n v="1"/>
    <x v="1"/>
    <s v="Vestdanmark"/>
    <n v="1363412.0539430196"/>
    <n v="0"/>
    <n v="0"/>
    <m/>
    <n v="0"/>
    <n v="0"/>
    <n v="0"/>
    <n v="0"/>
    <n v="1363412.0539430196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87951.528514645848"/>
    <n v="0"/>
    <n v="0"/>
    <m/>
    <n v="0"/>
    <n v="0"/>
    <n v="0"/>
    <n v="0"/>
    <n v="87951.52851464584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037736.7550566321"/>
    <n v="0"/>
    <n v="0"/>
    <m/>
    <n v="0"/>
    <n v="0"/>
    <n v="0"/>
    <n v="0"/>
    <n v="1037736.7550566321"/>
    <n v="0"/>
    <n v="0"/>
    <n v="0"/>
    <n v="0"/>
    <n v="0"/>
    <n v="0"/>
    <n v="0"/>
    <n v="0"/>
    <n v="0"/>
    <n v="0"/>
  </r>
  <r>
    <x v="31"/>
    <x v="7"/>
    <n v="1"/>
    <n v="0"/>
    <x v="1"/>
    <s v="Vestdanmark"/>
    <n v="897193.5214277351"/>
    <n v="0"/>
    <n v="0"/>
    <m/>
    <n v="0"/>
    <n v="0"/>
    <n v="897193.5214277351"/>
    <n v="0"/>
    <n v="0"/>
    <n v="0"/>
    <n v="897193.5214277351"/>
    <n v="0"/>
    <n v="16.508360794270324"/>
    <n v="0"/>
    <n v="16.508360794270324"/>
    <n v="0"/>
    <n v="372335.31139251008"/>
    <n v="0"/>
    <n v="372335.31139251008"/>
  </r>
  <r>
    <x v="32"/>
    <x v="8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123110.9588889731"/>
    <n v="0"/>
    <n v="0"/>
    <m/>
    <n v="0"/>
    <n v="0"/>
    <n v="0"/>
    <n v="0"/>
    <n v="2123110.9588889731"/>
    <n v="0"/>
    <n v="0"/>
    <n v="0"/>
    <n v="0"/>
    <n v="0"/>
    <n v="0"/>
    <n v="0"/>
    <n v="0"/>
    <n v="0"/>
    <n v="0"/>
  </r>
  <r>
    <x v="35"/>
    <x v="10"/>
    <n v="0"/>
    <n v="0"/>
    <x v="1"/>
    <s v="Vestdanmark"/>
    <n v="736385.00175039668"/>
    <n v="0"/>
    <n v="0"/>
    <m/>
    <n v="0"/>
    <n v="0"/>
    <n v="0"/>
    <n v="736385.00175039668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368192.50087519834"/>
    <n v="133537.51054598394"/>
    <n v="0"/>
    <m/>
    <n v="0"/>
    <n v="0"/>
    <n v="0"/>
    <n v="0"/>
    <n v="234654.9903292144"/>
    <n v="0"/>
    <n v="0"/>
    <n v="0"/>
    <n v="0"/>
    <n v="0"/>
    <n v="0"/>
    <n v="0"/>
    <n v="0"/>
    <n v="0"/>
    <n v="0"/>
  </r>
  <r>
    <x v="37"/>
    <x v="9"/>
    <n v="1"/>
    <n v="1"/>
    <x v="1"/>
    <s v="Vestdanmark"/>
    <n v="235643.20056012695"/>
    <n v="0"/>
    <n v="0"/>
    <m/>
    <n v="0"/>
    <n v="0"/>
    <n v="235643.20056012695"/>
    <n v="0"/>
    <n v="0"/>
    <n v="0"/>
    <n v="235643.20056012695"/>
    <n v="0"/>
    <n v="8.2475120196044429"/>
    <n v="0"/>
    <n v="8.2475120196044429"/>
    <n v="0"/>
    <n v="0"/>
    <n v="0"/>
    <n v="0"/>
  </r>
  <r>
    <x v="38"/>
    <x v="4"/>
    <n v="1"/>
    <n v="1"/>
    <x v="1"/>
    <s v="Vestdanmark"/>
    <n v="2891451.8691946529"/>
    <n v="524651.55817020475"/>
    <n v="0"/>
    <m/>
    <n v="0"/>
    <n v="0"/>
    <n v="0"/>
    <n v="0"/>
    <n v="2366800.3110244479"/>
    <n v="2366800.3110244479"/>
    <n v="0"/>
    <n v="6.423590716132793"/>
    <n v="6.423590716132793"/>
    <n v="0"/>
    <n v="6.423590716132793"/>
    <n v="473360.0622048896"/>
    <n v="473360.0622048896"/>
    <n v="0"/>
    <n v="473360.0622048896"/>
  </r>
  <r>
    <x v="39"/>
    <x v="10"/>
    <n v="0"/>
    <n v="0"/>
    <x v="1"/>
    <s v="Vestdanmark"/>
    <n v="141637.01837439084"/>
    <n v="0"/>
    <n v="0"/>
    <m/>
    <n v="0"/>
    <n v="0"/>
    <n v="0"/>
    <n v="0"/>
    <n v="141637.01837439084"/>
    <n v="0"/>
    <n v="0"/>
    <n v="0"/>
    <n v="0"/>
    <n v="0"/>
    <n v="0"/>
    <n v="0"/>
    <n v="0"/>
    <n v="0"/>
    <n v="0"/>
  </r>
  <r>
    <x v="40"/>
    <x v="10"/>
    <n v="0"/>
    <n v="0"/>
    <x v="1"/>
    <s v="Vestdanmark"/>
    <n v="90522.550539010685"/>
    <n v="27571.70194124684"/>
    <n v="0"/>
    <m/>
    <n v="0"/>
    <n v="0"/>
    <n v="0"/>
    <n v="0"/>
    <n v="62950.848597763848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05227.9830927276"/>
    <n v="0"/>
    <n v="0"/>
    <m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</r>
  <r>
    <x v="42"/>
    <x v="2"/>
    <n v="1"/>
    <n v="0"/>
    <x v="1"/>
    <s v="Vestdanmark"/>
    <n v="10497145.511353366"/>
    <n v="0"/>
    <n v="0"/>
    <m/>
    <n v="7872859.1335150246"/>
    <n v="2624286.3778383415"/>
    <n v="0"/>
    <n v="0"/>
    <n v="0"/>
    <n v="0"/>
    <n v="7872859.1335150246"/>
    <n v="0"/>
    <n v="3.3916277147182732"/>
    <n v="3.3916277147182732"/>
    <n v="0"/>
    <n v="0"/>
    <n v="393642.95667575125"/>
    <n v="393642.95667575125"/>
    <n v="0"/>
  </r>
  <r>
    <x v="43"/>
    <x v="10"/>
    <n v="0"/>
    <n v="1"/>
    <x v="1"/>
    <s v="Vestdanmark"/>
    <n v="951875.76678713446"/>
    <n v="0"/>
    <n v="0"/>
    <m/>
    <n v="0"/>
    <n v="0"/>
    <n v="0"/>
    <n v="0"/>
    <n v="951875.76678713446"/>
    <n v="0"/>
    <n v="0"/>
    <n v="0"/>
    <n v="0"/>
    <n v="0"/>
    <n v="0"/>
    <n v="0"/>
    <n v="0"/>
    <n v="0"/>
    <n v="0"/>
  </r>
  <r>
    <x v="44"/>
    <x v="6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</r>
  <r>
    <x v="47"/>
    <x v="10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m/>
    <n v="0"/>
    <n v="0"/>
    <n v="0"/>
    <n v="0"/>
    <n v="38948.680417674739"/>
    <n v="0"/>
    <n v="0"/>
    <n v="0"/>
    <n v="0"/>
    <n v="0"/>
    <n v="0"/>
    <n v="0"/>
    <n v="0"/>
    <n v="0"/>
    <n v="0"/>
  </r>
  <r>
    <x v="1"/>
    <x v="10"/>
    <n v="0"/>
    <n v="1"/>
    <x v="2"/>
    <s v="Vestdanmark"/>
    <n v="669028.68943321821"/>
    <n v="5403.1676876681813"/>
    <n v="0"/>
    <m/>
    <n v="0"/>
    <n v="0"/>
    <n v="0"/>
    <n v="0"/>
    <n v="663625.52174554998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143267380.83343491"/>
    <n v="0"/>
    <n v="0"/>
    <m/>
    <n v="0"/>
    <n v="0"/>
    <n v="143267380.83343491"/>
    <n v="0"/>
    <n v="0"/>
    <n v="0"/>
    <n v="143267380.83343491"/>
    <n v="0"/>
    <n v="0"/>
    <n v="0"/>
    <n v="0"/>
    <n v="0"/>
    <n v="0"/>
    <n v="0"/>
    <n v="0"/>
  </r>
  <r>
    <x v="4"/>
    <x v="10"/>
    <n v="0"/>
    <n v="0"/>
    <x v="2"/>
    <s v="Vestdanmark"/>
    <n v="7170282.0619360534"/>
    <n v="0"/>
    <n v="0"/>
    <m/>
    <n v="0"/>
    <n v="176554.0416515274"/>
    <n v="0"/>
    <n v="0"/>
    <n v="6993728.0202845261"/>
    <n v="0"/>
    <n v="0"/>
    <n v="0"/>
    <n v="0"/>
    <n v="0"/>
    <n v="0"/>
    <n v="0"/>
    <n v="0"/>
    <n v="0"/>
    <n v="0"/>
  </r>
  <r>
    <x v="5"/>
    <x v="1"/>
    <n v="1"/>
    <n v="0"/>
    <x v="2"/>
    <s v="Vestdanmark"/>
    <n v="6329623.0926010143"/>
    <n v="0"/>
    <n v="0"/>
    <m/>
    <n v="5696660.7833409132"/>
    <n v="0"/>
    <n v="0"/>
    <n v="0"/>
    <n v="632962.30926010106"/>
    <n v="632962.30926010106"/>
    <n v="5696660.7833409132"/>
    <n v="0.35953909737938478"/>
    <n v="3.5953909737938501"/>
    <n v="3.2358518764144653"/>
    <n v="0.35953909737938483"/>
    <n v="27067.612540795355"/>
    <n v="270676.12540795375"/>
    <n v="243608.51286715837"/>
    <n v="27067.61254079538"/>
  </r>
  <r>
    <x v="6"/>
    <x v="2"/>
    <n v="1"/>
    <n v="0"/>
    <x v="2"/>
    <s v="Vestdanmark"/>
    <n v="575834.83314211352"/>
    <n v="0"/>
    <n v="0"/>
    <m/>
    <n v="518251.34982790216"/>
    <n v="21799.461540380005"/>
    <n v="0"/>
    <n v="0"/>
    <n v="35784.021773831337"/>
    <n v="35784.021773831337"/>
    <n v="518251.34982790216"/>
    <n v="7.7078782900832699E-2"/>
    <n v="1.1933921904301341"/>
    <n v="1.1163134075293013"/>
    <n v="7.707878290083281E-2"/>
    <n v="10735.206532149401"/>
    <n v="166210.61148052005"/>
    <n v="155475.40494837065"/>
    <n v="10735.206532149401"/>
  </r>
  <r>
    <x v="7"/>
    <x v="10"/>
    <n v="0"/>
    <n v="0"/>
    <x v="2"/>
    <s v="Vestdanmark"/>
    <n v="4458195.0067192381"/>
    <n v="691266.04395840655"/>
    <n v="0"/>
    <m/>
    <n v="0"/>
    <n v="0"/>
    <n v="0"/>
    <n v="0"/>
    <n v="3766928.9627608317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m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m/>
    <n v="0"/>
    <n v="0"/>
    <n v="0"/>
    <n v="0"/>
    <n v="6001.6248923716248"/>
    <n v="0"/>
    <n v="0"/>
    <n v="0"/>
    <n v="0"/>
    <n v="0"/>
    <n v="0"/>
    <n v="0"/>
    <n v="0"/>
    <n v="0"/>
    <n v="0"/>
  </r>
  <r>
    <x v="10"/>
    <x v="10"/>
    <n v="0"/>
    <n v="0"/>
    <x v="2"/>
    <s v="Vestdanmark"/>
    <n v="62819.759709472717"/>
    <n v="0"/>
    <n v="0"/>
    <m/>
    <n v="0"/>
    <n v="0"/>
    <n v="0"/>
    <n v="0"/>
    <n v="62819.759709472717"/>
    <n v="0"/>
    <n v="0"/>
    <n v="0"/>
    <n v="0"/>
    <n v="0"/>
    <n v="0"/>
    <n v="0"/>
    <n v="0"/>
    <n v="0"/>
    <n v="0"/>
  </r>
  <r>
    <x v="11"/>
    <x v="10"/>
    <n v="0"/>
    <n v="1"/>
    <x v="2"/>
    <s v="Vestdanmark"/>
    <n v="774671.670329666"/>
    <n v="0"/>
    <n v="0"/>
    <m/>
    <n v="0"/>
    <n v="0"/>
    <n v="0"/>
    <n v="0"/>
    <n v="774671.670329666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34445105.835390486"/>
    <n v="1025176.0247393751"/>
    <n v="0"/>
    <m/>
    <n v="0"/>
    <n v="0"/>
    <n v="0"/>
    <n v="12953227.102583883"/>
    <n v="20466702.708067227"/>
    <n v="20466702.708067227"/>
    <n v="0"/>
    <n v="37.656174645005194"/>
    <n v="37.656174645005194"/>
    <n v="0"/>
    <n v="37.656174645005194"/>
    <n v="5730676.7582588242"/>
    <n v="5730676.7582588242"/>
    <n v="0"/>
    <n v="5730676.7582588242"/>
  </r>
  <r>
    <x v="14"/>
    <x v="10"/>
    <n v="0"/>
    <n v="0"/>
    <x v="2"/>
    <s v="Vestdanmark"/>
    <n v="2165409.00326363"/>
    <n v="2165409.00326363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01754.85239496577"/>
    <n v="0"/>
    <n v="0"/>
    <m/>
    <n v="0"/>
    <n v="0"/>
    <n v="0"/>
    <n v="0"/>
    <n v="301754.85239496577"/>
    <n v="0"/>
    <n v="0"/>
    <n v="0"/>
    <n v="0"/>
    <n v="0"/>
    <n v="0"/>
    <n v="0"/>
    <n v="0"/>
    <n v="0"/>
    <n v="0"/>
  </r>
  <r>
    <x v="16"/>
    <x v="5"/>
    <n v="1"/>
    <n v="0"/>
    <x v="2"/>
    <s v="Vestdanmark"/>
    <n v="713186.46186449786"/>
    <n v="64762.968256356122"/>
    <n v="70290.546378545216"/>
    <m/>
    <n v="0"/>
    <n v="0"/>
    <n v="578132.94722959655"/>
    <n v="0"/>
    <n v="0"/>
    <n v="0"/>
    <n v="578132.94722959655"/>
    <n v="0"/>
    <n v="5.9754701808380979"/>
    <n v="0"/>
    <n v="5.9754701808380979"/>
    <n v="0"/>
    <n v="491413.00514515705"/>
    <n v="0"/>
    <n v="491413.00514515705"/>
  </r>
  <r>
    <x v="17"/>
    <x v="1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7306.9698136746"/>
    <n v="0"/>
    <n v="0"/>
    <m/>
    <n v="0"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</r>
  <r>
    <x v="20"/>
    <x v="10"/>
    <n v="0"/>
    <n v="0"/>
    <x v="2"/>
    <s v="Vestdanmark"/>
    <n v="386762.96576702269"/>
    <n v="0"/>
    <n v="0"/>
    <m/>
    <n v="0"/>
    <n v="0"/>
    <n v="0"/>
    <n v="0"/>
    <n v="386762.96576702269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337126.3206842514"/>
    <n v="0"/>
    <n v="0"/>
    <m/>
    <n v="0"/>
    <n v="0"/>
    <n v="0"/>
    <n v="0"/>
    <n v="2337126.3206842514"/>
    <n v="0"/>
    <n v="0"/>
    <n v="0"/>
    <n v="0"/>
    <n v="0"/>
    <n v="0"/>
    <n v="0"/>
    <n v="0"/>
    <n v="0"/>
    <n v="0"/>
  </r>
  <r>
    <x v="22"/>
    <x v="5"/>
    <n v="1"/>
    <n v="1"/>
    <x v="2"/>
    <s v="Vestdanmark"/>
    <n v="482048.93054039421"/>
    <n v="123145.11430255328"/>
    <n v="0"/>
    <m/>
    <n v="0"/>
    <n v="0"/>
    <n v="0"/>
    <n v="0"/>
    <n v="358903.81623784092"/>
    <n v="358903.81623784092"/>
    <n v="0"/>
    <n v="1.2291953240803322"/>
    <n v="1.2291953240803322"/>
    <n v="0"/>
    <n v="1.2291953240803322"/>
    <n v="111260.18303373069"/>
    <n v="111260.18303373069"/>
    <n v="0"/>
    <n v="111260.18303373069"/>
  </r>
  <r>
    <x v="23"/>
    <x v="10"/>
    <n v="0"/>
    <n v="0"/>
    <x v="2"/>
    <s v="Vestdanmark"/>
    <n v="0"/>
    <n v="0"/>
    <n v="0"/>
    <m/>
    <n v="0"/>
    <n v="1065538.7961780522"/>
    <n v="0"/>
    <n v="0"/>
    <n v="-1065538.7961780522"/>
    <n v="0"/>
    <n v="0"/>
    <n v="0"/>
    <n v="0"/>
    <n v="0"/>
    <n v="0"/>
    <n v="0"/>
    <n v="0"/>
    <n v="0"/>
    <n v="0"/>
  </r>
  <r>
    <x v="24"/>
    <x v="2"/>
    <n v="1"/>
    <n v="0"/>
    <x v="2"/>
    <s v="Vestdanmark"/>
    <n v="68744.822418311582"/>
    <n v="0"/>
    <n v="0"/>
    <m/>
    <n v="61870.340176480422"/>
    <n v="6874.4822418311569"/>
    <n v="0"/>
    <n v="0"/>
    <n v="0"/>
    <n v="0"/>
    <n v="61870.340176480422"/>
    <n v="0"/>
    <n v="3.1318147493932628E-2"/>
    <n v="3.1318147493932628E-2"/>
    <n v="0"/>
    <n v="0"/>
    <n v="4702.1458534125122"/>
    <n v="4702.1458534125122"/>
    <n v="0"/>
  </r>
  <r>
    <x v="25"/>
    <x v="10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Vestdanmark"/>
    <n v="513235.88893477799"/>
    <n v="472676.57715918368"/>
    <n v="0"/>
    <m/>
    <n v="0"/>
    <n v="0"/>
    <n v="0"/>
    <n v="0"/>
    <n v="40559.311775594309"/>
    <n v="40559.311775594309"/>
    <n v="0"/>
    <n v="0.1456079292743836"/>
    <n v="0.1456079292743836"/>
    <n v="0"/>
    <n v="0.1456079292743836"/>
    <n v="12167.793532678292"/>
    <n v="12167.793532678292"/>
    <n v="0"/>
    <n v="12167.793532678292"/>
  </r>
  <r>
    <x v="27"/>
    <x v="10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915.1017916004403"/>
    <n v="0"/>
    <n v="0"/>
    <m/>
    <n v="0"/>
    <n v="0"/>
    <n v="0"/>
    <n v="0"/>
    <n v="3915.1017916004403"/>
    <n v="0"/>
    <n v="0"/>
    <n v="0"/>
    <n v="0"/>
    <n v="0"/>
    <n v="0"/>
    <n v="0"/>
    <n v="0"/>
    <n v="0"/>
    <n v="0"/>
  </r>
  <r>
    <x v="30"/>
    <x v="10"/>
    <n v="0"/>
    <n v="1"/>
    <x v="2"/>
    <s v="Vestdanmark"/>
    <n v="90697.791194463221"/>
    <n v="0"/>
    <n v="0"/>
    <m/>
    <n v="0"/>
    <n v="0"/>
    <n v="0"/>
    <n v="0"/>
    <n v="90697.791194463221"/>
    <n v="0"/>
    <n v="0"/>
    <n v="0"/>
    <n v="0"/>
    <n v="0"/>
    <n v="0"/>
    <n v="0"/>
    <n v="0"/>
    <n v="0"/>
    <n v="0"/>
  </r>
  <r>
    <x v="31"/>
    <x v="7"/>
    <n v="1"/>
    <n v="0"/>
    <x v="2"/>
    <s v="Vestdanmark"/>
    <n v="1315903.5397993135"/>
    <n v="0"/>
    <n v="0"/>
    <m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</r>
  <r>
    <x v="32"/>
    <x v="8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Vestdanmark"/>
    <n v="649292.34846099082"/>
    <n v="0"/>
    <n v="0"/>
    <m/>
    <n v="0"/>
    <n v="0"/>
    <n v="0"/>
    <n v="649292.34846099082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324646.17423049541"/>
    <n v="17935.514963231879"/>
    <n v="0"/>
    <m/>
    <n v="0"/>
    <n v="0"/>
    <n v="0"/>
    <n v="0"/>
    <n v="306710.65926726355"/>
    <n v="0"/>
    <n v="0"/>
    <n v="0"/>
    <n v="0"/>
    <n v="0"/>
    <n v="0"/>
    <n v="0"/>
    <n v="0"/>
    <n v="0"/>
    <n v="0"/>
  </r>
  <r>
    <x v="37"/>
    <x v="9"/>
    <n v="1"/>
    <n v="1"/>
    <x v="2"/>
    <s v="Vestdanmark"/>
    <n v="207773.55150751706"/>
    <n v="0"/>
    <n v="0"/>
    <m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</r>
  <r>
    <x v="38"/>
    <x v="4"/>
    <n v="1"/>
    <n v="1"/>
    <x v="2"/>
    <s v="Vestdanmark"/>
    <n v="2749867.8949207771"/>
    <n v="70466.311926672526"/>
    <n v="0"/>
    <m/>
    <n v="0"/>
    <n v="0"/>
    <n v="0"/>
    <n v="0"/>
    <n v="2679401.5829941044"/>
    <n v="2679401.5829941044"/>
    <n v="0"/>
    <n v="7.2720030723093192"/>
    <n v="7.2720030723093192"/>
    <n v="0"/>
    <n v="7.2720030723093192"/>
    <n v="535880.31659882085"/>
    <n v="535880.31659882085"/>
    <n v="0"/>
    <n v="535880.31659882085"/>
  </r>
  <r>
    <x v="39"/>
    <x v="10"/>
    <n v="0"/>
    <n v="0"/>
    <x v="2"/>
    <s v="Vestdanmark"/>
    <n v="6885.6435501498472"/>
    <n v="0"/>
    <n v="0"/>
    <m/>
    <n v="0"/>
    <n v="0"/>
    <n v="0"/>
    <n v="0"/>
    <n v="6885.6435501498472"/>
    <n v="0"/>
    <n v="0"/>
    <n v="0"/>
    <n v="0"/>
    <n v="0"/>
    <n v="0"/>
    <n v="0"/>
    <n v="0"/>
    <n v="0"/>
    <n v="0"/>
  </r>
  <r>
    <x v="40"/>
    <x v="10"/>
    <n v="0"/>
    <n v="0"/>
    <x v="2"/>
    <s v="Vestdanmark"/>
    <n v="4618.1462568237339"/>
    <n v="4432.6987357664457"/>
    <n v="0"/>
    <m/>
    <n v="0"/>
    <n v="0"/>
    <n v="0"/>
    <n v="0"/>
    <n v="185.44752105728821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2333.5486616795"/>
    <n v="0"/>
    <n v="0"/>
    <m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</r>
  <r>
    <x v="42"/>
    <x v="2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48971.913359549246"/>
    <n v="0"/>
    <n v="0"/>
    <m/>
    <n v="0"/>
    <n v="0"/>
    <n v="0"/>
    <n v="0"/>
    <n v="48971.913359549246"/>
    <n v="0"/>
    <n v="0"/>
    <n v="0"/>
    <n v="0"/>
    <n v="0"/>
    <n v="0"/>
    <n v="0"/>
    <n v="0"/>
    <n v="0"/>
    <n v="0"/>
  </r>
  <r>
    <x v="44"/>
    <x v="6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</r>
  <r>
    <x v="47"/>
    <x v="10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</r>
  <r>
    <x v="23"/>
    <x v="0"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4322.21600404952"/>
    <n v="0"/>
    <n v="0"/>
    <m/>
    <n v="0"/>
    <n v="0"/>
    <n v="0"/>
    <n v="0"/>
    <n v="14322.21600404952"/>
    <n v="0"/>
    <n v="0"/>
    <n v="0"/>
    <n v="0"/>
    <n v="0"/>
    <n v="0"/>
    <n v="0"/>
    <n v="0"/>
    <n v="0"/>
    <n v="0"/>
  </r>
  <r>
    <x v="1"/>
    <x v="10"/>
    <n v="0"/>
    <n v="1"/>
    <x v="1"/>
    <s v="Østdanmark"/>
    <n v="165990.97004737973"/>
    <n v="5130.0675922754808"/>
    <n v="0"/>
    <m/>
    <n v="0"/>
    <n v="0"/>
    <n v="0"/>
    <n v="0"/>
    <n v="160860.90245510425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71864818.658698291"/>
    <n v="0"/>
    <n v="0"/>
    <m/>
    <n v="0"/>
    <n v="0"/>
    <n v="71864818.658698291"/>
    <n v="0"/>
    <n v="0"/>
    <n v="0"/>
    <n v="71864818.658698291"/>
    <n v="0"/>
    <n v="0"/>
    <n v="0"/>
    <n v="0"/>
    <n v="0"/>
    <n v="0"/>
    <n v="0"/>
    <n v="0"/>
  </r>
  <r>
    <x v="4"/>
    <x v="10"/>
    <n v="0"/>
    <n v="0"/>
    <x v="1"/>
    <s v="Østdanmark"/>
    <n v="4144858.0624243855"/>
    <n v="0"/>
    <n v="0"/>
    <m/>
    <n v="0"/>
    <n v="3460535.4285508459"/>
    <n v="0"/>
    <n v="0"/>
    <n v="684322.63387353951"/>
    <n v="0"/>
    <n v="0"/>
    <n v="0"/>
    <n v="0"/>
    <n v="0"/>
    <n v="0"/>
    <n v="0"/>
    <n v="0"/>
    <n v="0"/>
    <n v="0"/>
  </r>
  <r>
    <x v="5"/>
    <x v="1"/>
    <n v="1"/>
    <n v="0"/>
    <x v="1"/>
    <s v="Østdanmark"/>
    <n v="2132472.7123802551"/>
    <n v="0"/>
    <n v="0"/>
    <m/>
    <n v="1599354.5342851914"/>
    <n v="0"/>
    <n v="0"/>
    <n v="0"/>
    <n v="533118.17809506366"/>
    <n v="533118.17809506366"/>
    <n v="1599354.5342851914"/>
    <n v="0.30282502724830679"/>
    <n v="1.2113001089932274"/>
    <n v="0.90847508174492064"/>
    <n v="0.30282502724830673"/>
    <n v="22797.93926434591"/>
    <n v="91191.757057383671"/>
    <n v="68393.817793037757"/>
    <n v="22797.939264345914"/>
  </r>
  <r>
    <x v="6"/>
    <x v="2"/>
    <n v="1"/>
    <n v="0"/>
    <x v="1"/>
    <s v="Østdanmark"/>
    <n v="237805.24041385058"/>
    <n v="0"/>
    <n v="0"/>
    <m/>
    <n v="178353.93031038792"/>
    <n v="22506.567396310857"/>
    <n v="0"/>
    <n v="0"/>
    <n v="36944.742707151803"/>
    <n v="36944.742707151803"/>
    <n v="178353.93031038792"/>
    <n v="7.9578975791204987E-2"/>
    <n v="0.46375334167978055"/>
    <n v="0.38417436588857556"/>
    <n v="7.9578975791204987E-2"/>
    <n v="11083.42281214554"/>
    <n v="64589.601905261916"/>
    <n v="53506.179093116378"/>
    <n v="11083.422812145538"/>
  </r>
  <r>
    <x v="7"/>
    <x v="10"/>
    <n v="0"/>
    <n v="0"/>
    <x v="1"/>
    <s v="Østdanmark"/>
    <n v="1501981.8809451428"/>
    <n v="232890.00848399676"/>
    <n v="0"/>
    <m/>
    <n v="0"/>
    <n v="0"/>
    <n v="0"/>
    <n v="0"/>
    <n v="1269091.872461146"/>
    <n v="0"/>
    <n v="0"/>
    <n v="0"/>
    <n v="0"/>
    <n v="0"/>
    <n v="0"/>
    <n v="0"/>
    <n v="0"/>
    <n v="0"/>
    <n v="0"/>
  </r>
  <r>
    <x v="8"/>
    <x v="2"/>
    <n v="1"/>
    <n v="0"/>
    <x v="1"/>
    <s v="Østdanmark"/>
    <n v="541.37976495307191"/>
    <n v="0"/>
    <n v="0"/>
    <m/>
    <n v="406.03482371480391"/>
    <n v="135.34494123826798"/>
    <n v="0"/>
    <n v="0"/>
    <n v="0"/>
    <n v="0"/>
    <n v="406.03482371480391"/>
    <n v="0"/>
    <n v="1.9095411724483514E-4"/>
    <n v="1.9095411724483514E-4"/>
    <n v="0"/>
    <n v="0"/>
    <n v="25.580193894032647"/>
    <n v="25.580193894032647"/>
    <n v="0"/>
  </r>
  <r>
    <x v="9"/>
    <x v="10"/>
    <n v="0"/>
    <n v="1"/>
    <x v="1"/>
    <s v="Østdanmark"/>
    <n v="12283.299585125167"/>
    <n v="0"/>
    <n v="0"/>
    <m/>
    <n v="0"/>
    <n v="0"/>
    <n v="0"/>
    <n v="0"/>
    <n v="12283.299585125167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39925.67708956901"/>
    <n v="0"/>
    <n v="0"/>
    <m/>
    <n v="0"/>
    <n v="0"/>
    <n v="0"/>
    <n v="0"/>
    <n v="239925.67708956901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50209.37360134395"/>
    <n v="0"/>
    <n v="0"/>
    <m/>
    <n v="0"/>
    <n v="0"/>
    <n v="0"/>
    <n v="0"/>
    <n v="150209.37360134395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569596.6515662586"/>
    <n v="973359.07469549077"/>
    <n v="0"/>
    <m/>
    <n v="0"/>
    <n v="0"/>
    <n v="0"/>
    <n v="4363988.6497844672"/>
    <n v="1232248.9270863002"/>
    <n v="0"/>
    <n v="0"/>
    <n v="0"/>
    <n v="0"/>
    <n v="0"/>
    <n v="0"/>
    <n v="0"/>
    <n v="0"/>
    <n v="0"/>
    <n v="0"/>
  </r>
  <r>
    <x v="14"/>
    <x v="10"/>
    <n v="0"/>
    <n v="0"/>
    <x v="1"/>
    <s v="Østdanmark"/>
    <n v="729534.05645906925"/>
    <n v="729534.05645906925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98055.31431785204"/>
    <n v="0"/>
    <n v="0"/>
    <m/>
    <n v="0"/>
    <n v="0"/>
    <n v="0"/>
    <n v="0"/>
    <n v="98055.31431785204"/>
    <n v="0"/>
    <n v="0"/>
    <n v="0"/>
    <n v="0"/>
    <n v="0"/>
    <n v="0"/>
    <n v="0"/>
    <n v="0"/>
    <n v="0"/>
    <n v="0"/>
  </r>
  <r>
    <x v="16"/>
    <x v="5"/>
    <n v="1"/>
    <n v="0"/>
    <x v="1"/>
    <s v="Østdanmark"/>
    <n v="675411.68414554815"/>
    <n v="61489.560168524164"/>
    <n v="70710.376470197152"/>
    <m/>
    <n v="0"/>
    <n v="0"/>
    <n v="543211.74750682688"/>
    <n v="0"/>
    <n v="0"/>
    <n v="0"/>
    <n v="543211.74750682688"/>
    <n v="0"/>
    <n v="5.6145314233733172"/>
    <n v="0"/>
    <n v="5.6145314233733172"/>
    <n v="0"/>
    <n v="461729.98538080283"/>
    <n v="0"/>
    <n v="461729.98538080283"/>
  </r>
  <r>
    <x v="17"/>
    <x v="1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247769.39356957743"/>
    <n v="0"/>
    <m/>
    <n v="0"/>
    <n v="0"/>
    <n v="0"/>
    <n v="0"/>
    <n v="-247769.39356957743"/>
    <n v="0"/>
    <n v="0"/>
    <n v="0"/>
    <n v="0"/>
    <n v="0"/>
    <n v="0"/>
    <n v="0"/>
    <n v="0"/>
    <n v="0"/>
    <n v="0"/>
  </r>
  <r>
    <x v="19"/>
    <x v="1"/>
    <n v="1"/>
    <n v="0"/>
    <x v="1"/>
    <s v="Østdanmark"/>
    <n v="191070.85109932383"/>
    <n v="0"/>
    <n v="0"/>
    <m/>
    <n v="0"/>
    <n v="0"/>
    <n v="0"/>
    <n v="0"/>
    <n v="191070.85109932383"/>
    <n v="191070.85109932383"/>
    <n v="0"/>
    <n v="0.82793483702401316"/>
    <n v="0.82793483702401316"/>
    <n v="0"/>
    <n v="0.82793483702401316"/>
    <n v="80249.757461715999"/>
    <n v="80249.757461715999"/>
    <n v="0"/>
    <n v="80249.757461715999"/>
  </r>
  <r>
    <x v="20"/>
    <x v="10"/>
    <n v="0"/>
    <n v="0"/>
    <x v="1"/>
    <s v="Østdanmark"/>
    <n v="205340.3536719332"/>
    <n v="0"/>
    <n v="0"/>
    <m/>
    <n v="0"/>
    <n v="0"/>
    <n v="0"/>
    <n v="0"/>
    <n v="205340.3536719332"/>
    <n v="0"/>
    <n v="0"/>
    <n v="0"/>
    <n v="0"/>
    <n v="0"/>
    <n v="0"/>
    <n v="0"/>
    <n v="0"/>
    <n v="0"/>
    <n v="0"/>
  </r>
  <r>
    <x v="21"/>
    <x v="10"/>
    <n v="0"/>
    <n v="1"/>
    <x v="1"/>
    <s v="Østdanmark"/>
    <n v="757571.37538443948"/>
    <n v="0"/>
    <n v="0"/>
    <m/>
    <n v="0"/>
    <n v="0"/>
    <n v="0"/>
    <n v="0"/>
    <n v="757571.37538443948"/>
    <n v="0"/>
    <n v="0"/>
    <n v="0"/>
    <n v="0"/>
    <n v="0"/>
    <n v="0"/>
    <n v="0"/>
    <n v="0"/>
    <n v="0"/>
    <n v="0"/>
  </r>
  <r>
    <x v="22"/>
    <x v="5"/>
    <n v="1"/>
    <n v="1"/>
    <x v="1"/>
    <s v="Østdanmark"/>
    <n v="1426697.7169863379"/>
    <n v="343178.29580461275"/>
    <n v="0"/>
    <m/>
    <n v="0"/>
    <n v="0"/>
    <n v="0"/>
    <n v="0"/>
    <n v="1083519.4211817251"/>
    <n v="1083519.4211817251"/>
    <n v="0"/>
    <n v="3.7109023248284436"/>
    <n v="3.7109023248284436"/>
    <n v="0"/>
    <n v="3.7109023248284436"/>
    <n v="335891.02056633477"/>
    <n v="335891.02056633477"/>
    <n v="0"/>
    <n v="335891.02056633477"/>
  </r>
  <r>
    <x v="23"/>
    <x v="10"/>
    <n v="0"/>
    <n v="0"/>
    <x v="1"/>
    <s v="Østdanmark"/>
    <n v="0"/>
    <n v="0"/>
    <n v="0"/>
    <m/>
    <n v="0"/>
    <n v="341428.57128038822"/>
    <n v="0"/>
    <n v="0"/>
    <n v="-341428.57128038822"/>
    <n v="0"/>
    <n v="0"/>
    <n v="0"/>
    <n v="0"/>
    <n v="0"/>
    <n v="0"/>
    <n v="0"/>
    <n v="0"/>
    <n v="0"/>
    <n v="0"/>
  </r>
  <r>
    <x v="24"/>
    <x v="2"/>
    <n v="1"/>
    <n v="0"/>
    <x v="1"/>
    <s v="Østdanmark"/>
    <n v="431286.20272258902"/>
    <n v="0"/>
    <n v="0"/>
    <m/>
    <n v="323464.65204194176"/>
    <n v="107821.55068064725"/>
    <n v="0"/>
    <n v="0"/>
    <n v="0"/>
    <n v="0"/>
    <n v="323464.65204194176"/>
    <n v="0"/>
    <n v="0.16373457221711052"/>
    <n v="0.16373457221711052"/>
    <n v="0"/>
    <n v="0"/>
    <n v="24583.313555187575"/>
    <n v="24583.313555187575"/>
    <n v="0"/>
  </r>
  <r>
    <x v="25"/>
    <x v="10"/>
    <n v="0"/>
    <n v="0"/>
    <x v="1"/>
    <s v="Østdanmark"/>
    <n v="50222.397196773512"/>
    <n v="77778.444140950829"/>
    <n v="0"/>
    <m/>
    <n v="0"/>
    <n v="0"/>
    <n v="0"/>
    <n v="0"/>
    <n v="-27556.046944177317"/>
    <n v="0"/>
    <n v="0"/>
    <n v="0"/>
    <n v="0"/>
    <n v="0"/>
    <n v="0"/>
    <n v="0"/>
    <n v="0"/>
    <n v="0"/>
    <n v="0"/>
  </r>
  <r>
    <x v="26"/>
    <x v="4"/>
    <n v="1"/>
    <n v="1"/>
    <x v="1"/>
    <s v="Østdanmark"/>
    <n v="1224051.0749297491"/>
    <n v="449536.54854955326"/>
    <n v="0"/>
    <m/>
    <n v="0"/>
    <n v="0"/>
    <n v="0"/>
    <n v="0"/>
    <n v="774514.52638019586"/>
    <n v="774514.52638019586"/>
    <n v="0"/>
    <n v="2.7805071497049036"/>
    <n v="2.7805071497049036"/>
    <n v="0"/>
    <n v="2.7805071497049036"/>
    <n v="232354.35791405875"/>
    <n v="232354.35791405875"/>
    <n v="0"/>
    <n v="232354.35791405875"/>
  </r>
  <r>
    <x v="27"/>
    <x v="10"/>
    <n v="0"/>
    <n v="1"/>
    <x v="1"/>
    <s v="Østdanmark"/>
    <n v="96903.161700864599"/>
    <n v="0"/>
    <n v="0"/>
    <m/>
    <n v="0"/>
    <n v="0"/>
    <n v="0"/>
    <n v="0"/>
    <n v="96903.16170086459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251.0678007025454"/>
    <n v="0"/>
    <n v="0"/>
    <m/>
    <n v="0"/>
    <n v="0"/>
    <n v="0"/>
    <n v="0"/>
    <n v="6251.0678007025454"/>
    <n v="0"/>
    <n v="0"/>
    <n v="0"/>
    <n v="0"/>
    <n v="0"/>
    <n v="0"/>
    <n v="0"/>
    <n v="0"/>
    <n v="0"/>
    <n v="0"/>
  </r>
  <r>
    <x v="30"/>
    <x v="10"/>
    <n v="0"/>
    <n v="1"/>
    <x v="1"/>
    <s v="Østdanmark"/>
    <n v="311483.30240974069"/>
    <n v="0"/>
    <n v="0"/>
    <m/>
    <n v="0"/>
    <n v="0"/>
    <n v="0"/>
    <n v="0"/>
    <n v="311483.30240974069"/>
    <n v="0"/>
    <n v="0"/>
    <n v="0"/>
    <n v="0"/>
    <n v="0"/>
    <n v="0"/>
    <n v="0"/>
    <n v="0"/>
    <n v="0"/>
    <n v="0"/>
  </r>
  <r>
    <x v="31"/>
    <x v="7"/>
    <n v="1"/>
    <n v="0"/>
    <x v="1"/>
    <s v="Østdanmark"/>
    <n v="272470.87062579964"/>
    <n v="0"/>
    <n v="0"/>
    <m/>
    <n v="0"/>
    <n v="0"/>
    <n v="272470.87062579964"/>
    <n v="0"/>
    <n v="0"/>
    <n v="0"/>
    <n v="272470.87062579964"/>
    <n v="0"/>
    <n v="5.0134640195147124"/>
    <n v="0"/>
    <n v="5.0134640195147124"/>
    <n v="0"/>
    <n v="113075.41130970686"/>
    <n v="0"/>
    <n v="113075.41130970686"/>
  </r>
  <r>
    <x v="32"/>
    <x v="8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150898.00912578267"/>
    <n v="0"/>
    <n v="0"/>
    <m/>
    <n v="0"/>
    <n v="0"/>
    <n v="0"/>
    <n v="0"/>
    <n v="150898.00912578267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25804.31636026004"/>
    <n v="0"/>
    <n v="0"/>
    <m/>
    <n v="0"/>
    <n v="0"/>
    <n v="0"/>
    <n v="225804.31636026004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12902.15818013002"/>
    <n v="17028.97436880333"/>
    <n v="0"/>
    <m/>
    <n v="0"/>
    <n v="0"/>
    <n v="0"/>
    <n v="0"/>
    <n v="95873.183811326686"/>
    <n v="0"/>
    <n v="0"/>
    <n v="0"/>
    <n v="0"/>
    <n v="0"/>
    <n v="0"/>
    <n v="0"/>
    <n v="0"/>
    <n v="0"/>
    <n v="0"/>
  </r>
  <r>
    <x v="37"/>
    <x v="9"/>
    <n v="1"/>
    <n v="1"/>
    <x v="1"/>
    <s v="Østdanmark"/>
    <n v="72257.381235283217"/>
    <n v="0"/>
    <n v="0"/>
    <m/>
    <n v="0"/>
    <n v="0"/>
    <n v="72257.381235283217"/>
    <n v="0"/>
    <n v="0"/>
    <n v="0"/>
    <n v="72257.381235283217"/>
    <n v="0"/>
    <n v="2.5290083432349122"/>
    <n v="0"/>
    <n v="2.5290083432349122"/>
    <n v="0"/>
    <n v="0"/>
    <n v="0"/>
    <n v="0"/>
  </r>
  <r>
    <x v="38"/>
    <x v="4"/>
    <n v="1"/>
    <n v="1"/>
    <x v="1"/>
    <s v="Østdanmark"/>
    <n v="898519.08431343141"/>
    <n v="66904.631515926056"/>
    <n v="0"/>
    <m/>
    <n v="0"/>
    <n v="0"/>
    <n v="0"/>
    <n v="0"/>
    <n v="831614.45279750531"/>
    <n v="831614.45279750531"/>
    <n v="0"/>
    <n v="2.2570348894705412"/>
    <n v="2.2570348894705412"/>
    <n v="0"/>
    <n v="2.2570348894705412"/>
    <n v="166322.89055950107"/>
    <n v="166322.89055950107"/>
    <n v="0"/>
    <n v="166322.89055950107"/>
  </r>
  <r>
    <x v="39"/>
    <x v="10"/>
    <n v="0"/>
    <n v="0"/>
    <x v="1"/>
    <s v="Østdanmark"/>
    <n v="16250.349472544192"/>
    <n v="0"/>
    <n v="0"/>
    <m/>
    <n v="0"/>
    <n v="0"/>
    <n v="0"/>
    <n v="0"/>
    <n v="16250.349472544192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2700.787430000357"/>
    <n v="3515.9993902993874"/>
    <n v="0"/>
    <m/>
    <n v="0"/>
    <n v="0"/>
    <n v="0"/>
    <n v="0"/>
    <n v="9184.7880397009685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39172.5135239428"/>
    <n v="0"/>
    <n v="0"/>
    <m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</r>
  <r>
    <x v="42"/>
    <x v="2"/>
    <n v="1"/>
    <n v="0"/>
    <x v="1"/>
    <s v="Østdanmark"/>
    <n v="1521006.1015498589"/>
    <n v="0"/>
    <n v="0"/>
    <m/>
    <n v="1140754.5761623941"/>
    <n v="380251.52538746473"/>
    <n v="0"/>
    <n v="0"/>
    <n v="0"/>
    <n v="0"/>
    <n v="1140754.5761623941"/>
    <n v="0"/>
    <n v="0.49143707141075949"/>
    <n v="0.49143707141075949"/>
    <n v="0"/>
    <n v="0"/>
    <n v="57037.728808119711"/>
    <n v="57037.728808119711"/>
    <n v="0"/>
  </r>
  <r>
    <x v="43"/>
    <x v="10"/>
    <n v="0"/>
    <n v="1"/>
    <x v="1"/>
    <s v="Østdanmark"/>
    <n v="137924.05255645732"/>
    <n v="0"/>
    <n v="0"/>
    <m/>
    <n v="0"/>
    <n v="0"/>
    <n v="0"/>
    <n v="0"/>
    <n v="137924.05255645732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</r>
  <r>
    <x v="47"/>
    <x v="10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m/>
    <n v="0"/>
    <n v="0"/>
    <n v="0"/>
    <n v="0"/>
    <n v="3268.9483710154163"/>
    <n v="0"/>
    <n v="0"/>
    <n v="0"/>
    <n v="0"/>
    <n v="0"/>
    <n v="0"/>
    <n v="0"/>
    <n v="0"/>
    <n v="0"/>
    <n v="0"/>
  </r>
  <r>
    <x v="1"/>
    <x v="10"/>
    <n v="0"/>
    <n v="1"/>
    <x v="2"/>
    <s v="Østdanmark"/>
    <n v="222547.77389902543"/>
    <n v="724.66280069904622"/>
    <n v="0"/>
    <m/>
    <n v="0"/>
    <n v="0"/>
    <n v="0"/>
    <n v="0"/>
    <n v="221823.11109832639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34982106.843700282"/>
    <n v="0"/>
    <n v="0"/>
    <m/>
    <n v="0"/>
    <n v="0"/>
    <n v="34982106.843700282"/>
    <n v="0"/>
    <n v="0"/>
    <n v="0"/>
    <n v="34982106.843700282"/>
    <n v="0"/>
    <n v="0"/>
    <n v="0"/>
    <n v="0"/>
    <n v="0"/>
    <n v="0"/>
    <n v="0"/>
    <n v="0"/>
  </r>
  <r>
    <x v="4"/>
    <x v="10"/>
    <n v="0"/>
    <n v="0"/>
    <x v="2"/>
    <s v="Østdanmark"/>
    <n v="1991891.0696177674"/>
    <n v="0"/>
    <n v="0"/>
    <m/>
    <n v="0"/>
    <n v="49046.385600017013"/>
    <n v="0"/>
    <n v="0"/>
    <n v="1942844.6840177504"/>
    <n v="0"/>
    <n v="0"/>
    <n v="0"/>
    <n v="0"/>
    <n v="0"/>
    <n v="0"/>
    <n v="0"/>
    <n v="0"/>
    <n v="0"/>
    <n v="0"/>
  </r>
  <r>
    <x v="5"/>
    <x v="1"/>
    <n v="1"/>
    <n v="0"/>
    <x v="2"/>
    <s v="Østdanmark"/>
    <n v="848917.27645660576"/>
    <n v="0"/>
    <n v="0"/>
    <m/>
    <n v="764025.54881094524"/>
    <n v="0"/>
    <n v="0"/>
    <n v="0"/>
    <n v="84891.727645660518"/>
    <n v="84891.727645660518"/>
    <n v="764025.54881094524"/>
    <n v="4.822071501915462E-2"/>
    <n v="0.48220715019154659"/>
    <n v="0.43398643517239194"/>
    <n v="4.8220715019154647E-2"/>
    <n v="3630.2578498196654"/>
    <n v="36302.578498196679"/>
    <n v="32672.320648377012"/>
    <n v="3630.2578498196672"/>
  </r>
  <r>
    <x v="6"/>
    <x v="2"/>
    <n v="1"/>
    <n v="0"/>
    <x v="2"/>
    <s v="Østdanmark"/>
    <n v="81826.264655313833"/>
    <n v="0"/>
    <n v="0"/>
    <m/>
    <n v="73643.638189782447"/>
    <n v="3097.7085905225945"/>
    <n v="0"/>
    <n v="0"/>
    <n v="5084.9178750087885"/>
    <n v="5084.9178750087885"/>
    <n v="73643.638189782447"/>
    <n v="1.095291310276893E-2"/>
    <n v="0.16958130976356034"/>
    <n v="0.1586283966607914"/>
    <n v="1.0952913102768941E-2"/>
    <n v="1525.4753625026365"/>
    <n v="23618.566819437368"/>
    <n v="22093.091456934733"/>
    <n v="1525.4753625026351"/>
  </r>
  <r>
    <x v="7"/>
    <x v="10"/>
    <n v="0"/>
    <n v="0"/>
    <x v="2"/>
    <s v="Østdanmark"/>
    <n v="597924.82232323941"/>
    <n v="92711.316101913326"/>
    <n v="0"/>
    <m/>
    <n v="0"/>
    <n v="0"/>
    <n v="0"/>
    <n v="0"/>
    <n v="505213.50622132607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m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m/>
    <n v="0"/>
    <n v="0"/>
    <n v="0"/>
    <n v="0"/>
    <n v="503.71416194271836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0896.559297118682"/>
    <n v="0"/>
    <n v="0"/>
    <m/>
    <n v="0"/>
    <n v="0"/>
    <n v="0"/>
    <n v="0"/>
    <n v="20896.55929711868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257689.18202978774"/>
    <n v="0"/>
    <n v="0"/>
    <m/>
    <n v="0"/>
    <n v="0"/>
    <n v="0"/>
    <n v="0"/>
    <n v="257689.18202978774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1397047.281261299"/>
    <n v="137494.70167152316"/>
    <n v="0"/>
    <m/>
    <n v="0"/>
    <n v="0"/>
    <n v="0"/>
    <n v="1737262.7267654187"/>
    <n v="9522289.8528243564"/>
    <n v="9522289.8528243564"/>
    <n v="0"/>
    <n v="17.519823042965214"/>
    <n v="17.519823042965214"/>
    <n v="0"/>
    <n v="17.519823042965214"/>
    <n v="2666241.1587908203"/>
    <n v="2666241.1587908203"/>
    <n v="0"/>
    <n v="2666241.1587908203"/>
  </r>
  <r>
    <x v="14"/>
    <x v="10"/>
    <n v="0"/>
    <n v="0"/>
    <x v="2"/>
    <s v="Østdanmark"/>
    <n v="290420.62798557343"/>
    <n v="290420.62798557343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00376.66803290648"/>
    <n v="0"/>
    <n v="0"/>
    <m/>
    <n v="0"/>
    <n v="0"/>
    <n v="0"/>
    <n v="0"/>
    <n v="100376.66803290648"/>
    <n v="0"/>
    <n v="0"/>
    <n v="0"/>
    <n v="0"/>
    <n v="0"/>
    <n v="0"/>
    <n v="0"/>
    <n v="0"/>
    <n v="0"/>
    <n v="0"/>
  </r>
  <r>
    <x v="16"/>
    <x v="5"/>
    <n v="1"/>
    <n v="0"/>
    <x v="2"/>
    <s v="Østdanmark"/>
    <n v="237236.55198901493"/>
    <n v="8685.8888472677336"/>
    <n v="9665.8931514547894"/>
    <m/>
    <n v="0"/>
    <n v="0"/>
    <n v="218884.76999029241"/>
    <n v="0"/>
    <n v="0"/>
    <n v="0"/>
    <n v="218884.76999029241"/>
    <n v="0"/>
    <n v="2.2623505932056318"/>
    <n v="0"/>
    <n v="2.2623505932056318"/>
    <n v="0"/>
    <n v="186052.05449174854"/>
    <n v="0"/>
    <n v="186052.05449174854"/>
  </r>
  <r>
    <x v="17"/>
    <x v="1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748.58777288889"/>
    <n v="0"/>
    <n v="0"/>
    <m/>
    <n v="0"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</r>
  <r>
    <x v="20"/>
    <x v="10"/>
    <n v="0"/>
    <n v="0"/>
    <x v="2"/>
    <s v="Østdanmark"/>
    <n v="128654.0299653736"/>
    <n v="0"/>
    <n v="0"/>
    <m/>
    <n v="0"/>
    <n v="0"/>
    <n v="0"/>
    <n v="0"/>
    <n v="128654.0299653736"/>
    <n v="0"/>
    <n v="0"/>
    <n v="0"/>
    <n v="0"/>
    <n v="0"/>
    <n v="0"/>
    <n v="0"/>
    <n v="0"/>
    <n v="0"/>
    <n v="0"/>
  </r>
  <r>
    <x v="21"/>
    <x v="10"/>
    <n v="0"/>
    <n v="1"/>
    <x v="2"/>
    <s v="Østdanmark"/>
    <n v="777428.93272593827"/>
    <n v="0"/>
    <n v="0"/>
    <m/>
    <n v="0"/>
    <n v="0"/>
    <n v="0"/>
    <n v="0"/>
    <n v="777428.93272593827"/>
    <n v="0"/>
    <n v="0"/>
    <n v="0"/>
    <n v="0"/>
    <n v="0"/>
    <n v="0"/>
    <n v="0"/>
    <n v="0"/>
    <n v="0"/>
    <n v="0"/>
  </r>
  <r>
    <x v="22"/>
    <x v="5"/>
    <n v="1"/>
    <n v="1"/>
    <x v="2"/>
    <s v="Østdanmark"/>
    <n v="160350.24819795735"/>
    <n v="16515.993687659306"/>
    <n v="0"/>
    <m/>
    <n v="0"/>
    <n v="0"/>
    <n v="0"/>
    <n v="0"/>
    <n v="143834.25451029805"/>
    <n v="143834.25451029805"/>
    <n v="0"/>
    <n v="0.49261218490213948"/>
    <n v="0.49261218490213948"/>
    <n v="0"/>
    <n v="0.49261218490213948"/>
    <n v="44588.618898192399"/>
    <n v="44588.618898192399"/>
    <n v="0"/>
    <n v="44588.618898192399"/>
  </r>
  <r>
    <x v="23"/>
    <x v="10"/>
    <n v="0"/>
    <n v="0"/>
    <x v="2"/>
    <s v="Østdanmark"/>
    <n v="0"/>
    <n v="0"/>
    <n v="0"/>
    <m/>
    <n v="0"/>
    <n v="354450.69932080351"/>
    <n v="0"/>
    <n v="0"/>
    <n v="-354450.69932080351"/>
    <n v="0"/>
    <n v="0"/>
    <n v="0"/>
    <n v="0"/>
    <n v="0"/>
    <n v="0"/>
    <n v="0"/>
    <n v="0"/>
    <n v="0"/>
    <n v="0"/>
  </r>
  <r>
    <x v="24"/>
    <x v="2"/>
    <n v="1"/>
    <n v="0"/>
    <x v="2"/>
    <s v="Østdanmark"/>
    <n v="4885.9701831397151"/>
    <n v="0"/>
    <n v="0"/>
    <m/>
    <n v="4397.3731648257435"/>
    <n v="488.59701831397138"/>
    <n v="0"/>
    <n v="0"/>
    <n v="0"/>
    <n v="0"/>
    <n v="4397.3731648257435"/>
    <n v="0"/>
    <n v="2.2259063223031435E-3"/>
    <n v="2.2259063223031435E-3"/>
    <n v="0"/>
    <n v="0"/>
    <n v="334.20036052675653"/>
    <n v="334.20036052675653"/>
    <n v="0"/>
  </r>
  <r>
    <x v="25"/>
    <x v="10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Østdanmark"/>
    <n v="170724.37456200234"/>
    <n v="63394.503378227986"/>
    <n v="0"/>
    <m/>
    <n v="0"/>
    <n v="0"/>
    <n v="0"/>
    <n v="0"/>
    <n v="107329.87118377435"/>
    <n v="107329.87118377435"/>
    <n v="0"/>
    <n v="0.38531423754974992"/>
    <n v="0.38531423754974992"/>
    <n v="0"/>
    <n v="0.38531423754974992"/>
    <n v="32198.961355132302"/>
    <n v="32198.961355132302"/>
    <n v="0"/>
    <n v="32198.961355132302"/>
  </r>
  <r>
    <x v="27"/>
    <x v="10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78.2619831544028"/>
    <n v="0"/>
    <n v="0"/>
    <m/>
    <n v="0"/>
    <n v="0"/>
    <n v="0"/>
    <n v="0"/>
    <n v="278.2619831544028"/>
    <n v="0"/>
    <n v="0"/>
    <n v="0"/>
    <n v="0"/>
    <n v="0"/>
    <n v="0"/>
    <n v="0"/>
    <n v="0"/>
    <n v="0"/>
    <n v="0"/>
  </r>
  <r>
    <x v="30"/>
    <x v="10"/>
    <n v="0"/>
    <n v="1"/>
    <x v="2"/>
    <s v="Østdanmark"/>
    <n v="30169.993972883625"/>
    <n v="0"/>
    <n v="0"/>
    <m/>
    <n v="0"/>
    <n v="0"/>
    <n v="0"/>
    <n v="0"/>
    <n v="30169.993972883625"/>
    <n v="0"/>
    <n v="0"/>
    <n v="0"/>
    <n v="0"/>
    <n v="0"/>
    <n v="0"/>
    <n v="0"/>
    <n v="0"/>
    <n v="0"/>
    <n v="0"/>
  </r>
  <r>
    <x v="31"/>
    <x v="7"/>
    <n v="1"/>
    <n v="0"/>
    <x v="2"/>
    <s v="Østdanmark"/>
    <n v="437726.22620455944"/>
    <n v="0"/>
    <n v="0"/>
    <m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</r>
  <r>
    <x v="32"/>
    <x v="8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15982.61635398451"/>
    <n v="0"/>
    <n v="0"/>
    <m/>
    <n v="0"/>
    <n v="0"/>
    <n v="0"/>
    <n v="215982.6163539845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7991.30817699226"/>
    <n v="2405.4779078760002"/>
    <n v="0"/>
    <m/>
    <n v="0"/>
    <n v="0"/>
    <n v="0"/>
    <n v="0"/>
    <n v="105585.83026911625"/>
    <n v="0"/>
    <n v="0"/>
    <n v="0"/>
    <n v="0"/>
    <n v="0"/>
    <n v="0"/>
    <n v="0"/>
    <n v="0"/>
    <n v="0"/>
    <n v="0"/>
  </r>
  <r>
    <x v="37"/>
    <x v="9"/>
    <n v="1"/>
    <n v="1"/>
    <x v="2"/>
    <s v="Østdanmark"/>
    <n v="69114.43723327505"/>
    <n v="0"/>
    <n v="0"/>
    <m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</r>
  <r>
    <x v="38"/>
    <x v="4"/>
    <n v="1"/>
    <n v="1"/>
    <x v="2"/>
    <s v="Østdanmark"/>
    <n v="914724.5674164847"/>
    <n v="9450.8106924500589"/>
    <n v="0"/>
    <m/>
    <n v="0"/>
    <n v="0"/>
    <n v="0"/>
    <n v="0"/>
    <n v="905273.75672403467"/>
    <n v="905273.75672403467"/>
    <n v="0"/>
    <n v="2.456949186699299"/>
    <n v="2.456949186699299"/>
    <n v="0"/>
    <n v="2.456949186699299"/>
    <n v="181054.75134480695"/>
    <n v="181054.75134480695"/>
    <n v="0"/>
    <n v="181054.75134480695"/>
  </r>
  <r>
    <x v="39"/>
    <x v="10"/>
    <n v="0"/>
    <n v="0"/>
    <x v="2"/>
    <s v="Østdanmark"/>
    <n v="807.52489656472994"/>
    <n v="0"/>
    <n v="0"/>
    <m/>
    <n v="0"/>
    <n v="0"/>
    <n v="0"/>
    <n v="0"/>
    <n v="807.52489656472994"/>
    <n v="0"/>
    <n v="0"/>
    <n v="0"/>
    <n v="0"/>
    <n v="0"/>
    <n v="0"/>
    <n v="0"/>
    <n v="0"/>
    <n v="0"/>
    <n v="0"/>
  </r>
  <r>
    <x v="40"/>
    <x v="10"/>
    <n v="0"/>
    <n v="0"/>
    <x v="2"/>
    <s v="Østdanmark"/>
    <n v="650.65285036970454"/>
    <n v="594.50530988460082"/>
    <n v="0"/>
    <m/>
    <n v="0"/>
    <n v="0"/>
    <n v="0"/>
    <n v="0"/>
    <n v="56.1475404851037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1788.2152479719"/>
    <n v="0"/>
    <n v="0"/>
    <m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</r>
  <r>
    <x v="42"/>
    <x v="2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7095.888967518189"/>
    <n v="0"/>
    <n v="0"/>
    <m/>
    <n v="0"/>
    <n v="0"/>
    <n v="0"/>
    <n v="0"/>
    <n v="7095.888967518189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</r>
  <r>
    <x v="47"/>
    <x v="10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925230.88589053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580670.950187711"/>
    <s v="CO2 - atmosfære"/>
    <x v="0"/>
  </r>
  <r>
    <s v="Vestdanmark"/>
    <x v="1"/>
    <n v="3816109.5273284824"/>
    <s v="Landbrug"/>
    <x v="1"/>
  </r>
  <r>
    <s v="Vestdanmark"/>
    <x v="1"/>
    <n v="3531395.5295987274"/>
    <s v="Landbrug"/>
    <x v="2"/>
  </r>
  <r>
    <s v="Vestdanmark"/>
    <x v="1"/>
    <n v="817585.82822234533"/>
    <s v="Landbrug"/>
    <x v="2"/>
  </r>
  <r>
    <s v="Vestdanmark"/>
    <x v="1"/>
    <n v="1624295.7186815178"/>
    <s v="Landbrug"/>
    <x v="2"/>
  </r>
  <r>
    <s v="Vestdanmark"/>
    <x v="1"/>
    <n v="-158.24317477886137"/>
    <s v="Hav"/>
    <x v="3"/>
  </r>
  <r>
    <s v="Vestdanmark"/>
    <x v="1"/>
    <n v="-1878991.6015824694"/>
    <s v="Skov"/>
    <x v="4"/>
  </r>
  <r>
    <s v="Vestdanmark"/>
    <x v="1"/>
    <n v="-95441.036993373244"/>
    <s v="HWP"/>
    <x v="5"/>
  </r>
  <r>
    <s v="Vestdanmark"/>
    <x v="1"/>
    <n v="-234124.77189274365"/>
    <s v="Biogasanlæg"/>
    <x v="6"/>
  </r>
  <r>
    <s v="Vestdanmark"/>
    <x v="1"/>
    <n v="0"/>
    <s v="Pyrolyseproces"/>
    <x v="7"/>
  </r>
  <r>
    <s v="Vestdanmark"/>
    <x v="2"/>
    <n v="-140948.11985151345"/>
    <s v="CO2 - atmosfære"/>
    <x v="0"/>
  </r>
  <r>
    <s v="Vestdanmark"/>
    <x v="2"/>
    <n v="403361.09981940413"/>
    <s v="Landbrug"/>
    <x v="1"/>
  </r>
  <r>
    <s v="Vestdanmark"/>
    <x v="2"/>
    <n v="2581014.1877439953"/>
    <s v="Landbrug"/>
    <x v="2"/>
  </r>
  <r>
    <s v="Vestdanmark"/>
    <x v="2"/>
    <n v="73549.300726273679"/>
    <s v="Landbrug"/>
    <x v="2"/>
  </r>
  <r>
    <s v="Vestdanmark"/>
    <x v="2"/>
    <n v="153049.78603004583"/>
    <s v="Landbrug"/>
    <x v="2"/>
  </r>
  <r>
    <s v="Vestdanmark"/>
    <x v="2"/>
    <n v="-158.24317477886137"/>
    <s v="Hav"/>
    <x v="3"/>
  </r>
  <r>
    <s v="Vestdanmark"/>
    <x v="2"/>
    <n v="-2992425.2998776729"/>
    <s v="Skov"/>
    <x v="4"/>
  </r>
  <r>
    <s v="Vestdanmark"/>
    <x v="2"/>
    <n v="-357518.33254056162"/>
    <s v="HWP"/>
    <x v="5"/>
  </r>
  <r>
    <s v="Vestdanmark"/>
    <x v="2"/>
    <n v="-1820.6185782189057"/>
    <s v="Biogasanlæg"/>
    <x v="6"/>
  </r>
  <r>
    <s v="Vestdanmark"/>
    <x v="2"/>
    <n v="0"/>
    <s v="Pyrolyseproces"/>
    <x v="7"/>
  </r>
  <r>
    <s v="Østdanmark"/>
    <x v="0"/>
    <n v="2132620.7692239708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364714.1997826013"/>
    <s v="CO2 - atmosfære"/>
    <x v="0"/>
  </r>
  <r>
    <s v="Østdanmark"/>
    <x v="1"/>
    <n v="339395.72967458674"/>
    <s v="Landbrug"/>
    <x v="1"/>
  </r>
  <r>
    <s v="Østdanmark"/>
    <x v="1"/>
    <n v="1085668.0687409649"/>
    <s v="Landbrug"/>
    <x v="2"/>
  </r>
  <r>
    <s v="Østdanmark"/>
    <x v="1"/>
    <n v="124173.21561020505"/>
    <s v="Landbrug"/>
    <x v="2"/>
  </r>
  <r>
    <s v="Østdanmark"/>
    <x v="1"/>
    <n v="246625.11650187292"/>
    <s v="Landbrug"/>
    <x v="2"/>
  </r>
  <r>
    <s v="Østdanmark"/>
    <x v="1"/>
    <n v="-0.19402522113858015"/>
    <s v="Hav"/>
    <x v="3"/>
  </r>
  <r>
    <s v="Østdanmark"/>
    <x v="1"/>
    <n v="-379941.29349814425"/>
    <s v="Skov"/>
    <x v="4"/>
  </r>
  <r>
    <s v="Østdanmark"/>
    <x v="1"/>
    <n v="-27168.989628195013"/>
    <s v="HWP"/>
    <x v="5"/>
  </r>
  <r>
    <s v="Østdanmark"/>
    <x v="1"/>
    <n v="-24037.453593468133"/>
    <s v="Biogasanlæg"/>
    <x v="6"/>
  </r>
  <r>
    <s v="Østdanmark"/>
    <x v="1"/>
    <n v="0"/>
    <s v="Pyrolyseproces"/>
    <x v="7"/>
  </r>
  <r>
    <s v="Østdanmark"/>
    <x v="2"/>
    <n v="257180.52396402037"/>
    <s v="CO2 - atmosfære"/>
    <x v="0"/>
  </r>
  <r>
    <s v="Østdanmark"/>
    <x v="2"/>
    <n v="39709.74880330517"/>
    <s v="Landbrug"/>
    <x v="1"/>
  </r>
  <r>
    <s v="Østdanmark"/>
    <x v="2"/>
    <n v="858556.5476584296"/>
    <s v="Landbrug"/>
    <x v="2"/>
  </r>
  <r>
    <s v="Østdanmark"/>
    <x v="2"/>
    <n v="11170.456936242925"/>
    <s v="Landbrug"/>
    <x v="2"/>
  </r>
  <r>
    <s v="Østdanmark"/>
    <x v="2"/>
    <n v="23244.76272469978"/>
    <s v="Landbrug"/>
    <x v="2"/>
  </r>
  <r>
    <s v="Østdanmark"/>
    <x v="2"/>
    <n v="-0.19402522113858015"/>
    <s v="Hav"/>
    <x v="3"/>
  </r>
  <r>
    <s v="Østdanmark"/>
    <x v="2"/>
    <n v="-593947.15361868346"/>
    <s v="Skov"/>
    <x v="4"/>
  </r>
  <r>
    <s v="Østdanmark"/>
    <x v="2"/>
    <n v="-81424.245852058768"/>
    <s v="HWP"/>
    <x v="5"/>
  </r>
  <r>
    <s v="Østdanmark"/>
    <x v="2"/>
    <n v="-129.39866269373474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70645.52593143433"/>
    <n v="0"/>
    <n v="0"/>
    <m/>
    <n v="0"/>
    <n v="0"/>
    <n v="0"/>
    <n v="0"/>
    <n v="170645.5259314343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45577.01129372371"/>
    <n v="40228.873469919854"/>
    <n v="0"/>
    <m/>
    <n v="0"/>
    <n v="0"/>
    <n v="0"/>
    <n v="0"/>
    <n v="505348.1378238038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57487622.60657209"/>
    <n v="0"/>
    <n v="0"/>
    <m/>
    <n v="0"/>
    <n v="0"/>
    <n v="457487622.60657209"/>
    <n v="0"/>
    <n v="0"/>
    <n v="0"/>
    <n v="457487622.60657209"/>
    <n v="0"/>
    <n v="0"/>
    <n v="0"/>
    <n v="0"/>
    <n v="0"/>
    <n v="0"/>
    <n v="0"/>
    <n v="0"/>
    <n v="0"/>
    <x v="1"/>
  </r>
  <r>
    <x v="4"/>
    <s v=""/>
    <n v="0"/>
    <n v="0"/>
    <x v="1"/>
    <s v="Vestdanmark"/>
    <n v="25538906.878535587"/>
    <n v="0"/>
    <n v="0"/>
    <m/>
    <n v="0"/>
    <n v="21322392.885014642"/>
    <n v="0"/>
    <n v="0"/>
    <n v="4216513.993520945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6722386.865540422"/>
    <n v="0"/>
    <n v="0"/>
    <m/>
    <n v="12541790.149155317"/>
    <n v="0"/>
    <n v="0"/>
    <n v="0"/>
    <n v="4180596.7163851056"/>
    <n v="4180596.7163851056"/>
    <n v="12541790.149155317"/>
    <n v="2.3746879520730859"/>
    <n v="9.4987518082923437"/>
    <n v="7.1240638562192586"/>
    <n v="2.374687952073085"/>
    <n v="178776.47760845334"/>
    <n v="715105.91043381335"/>
    <n v="536329.43282535998"/>
    <n v="178776.47760845337"/>
    <n v="0"/>
    <x v="0"/>
  </r>
  <r>
    <x v="6"/>
    <s v="Husdyrgødning"/>
    <n v="1"/>
    <n v="0"/>
    <x v="1"/>
    <s v="Vestdanmark"/>
    <n v="1772243.3904723523"/>
    <n v="0"/>
    <n v="0"/>
    <m/>
    <n v="1329182.5428542641"/>
    <n v="167730.1780268476"/>
    <n v="0"/>
    <n v="0"/>
    <n v="275330.66959124058"/>
    <n v="275330.66959124058"/>
    <n v="1329182.5428542641"/>
    <n v="0.59306226229953218"/>
    <n v="3.4561214596076173"/>
    <n v="2.8630591973080852"/>
    <n v="0.59306226229953207"/>
    <n v="82599.200877372175"/>
    <n v="481353.96373365138"/>
    <n v="398754.76285627921"/>
    <n v="82599.200877372175"/>
    <n v="0"/>
    <x v="0"/>
  </r>
  <r>
    <x v="7"/>
    <s v=""/>
    <n v="0"/>
    <n v="0"/>
    <x v="1"/>
    <s v="Vestdanmark"/>
    <n v="11778214.995380456"/>
    <n v="1826272.75668226"/>
    <n v="0"/>
    <m/>
    <n v="0"/>
    <n v="0"/>
    <n v="0"/>
    <n v="0"/>
    <n v="9951942.2386981957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6450.400880208218"/>
    <n v="0"/>
    <n v="0"/>
    <m/>
    <n v="4837.8006601561638"/>
    <n v="1612.6002200520545"/>
    <n v="0"/>
    <n v="0"/>
    <n v="0"/>
    <n v="0"/>
    <n v="4837.8006601561638"/>
    <n v="0"/>
    <n v="2.2751692724648424E-3"/>
    <n v="2.2751692724648424E-3"/>
    <n v="0"/>
    <n v="0"/>
    <n v="304.78144158983832"/>
    <n v="304.78144158983832"/>
    <n v="0"/>
    <n v="0"/>
    <x v="1"/>
  </r>
  <r>
    <x v="9"/>
    <s v=""/>
    <n v="0"/>
    <n v="1"/>
    <x v="1"/>
    <s v="Vestdanmark"/>
    <n v="146352.36036688712"/>
    <n v="0"/>
    <n v="0"/>
    <m/>
    <n v="0"/>
    <n v="0"/>
    <n v="0"/>
    <n v="0"/>
    <n v="146352.36036688712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49561.48395824642"/>
    <n v="0"/>
    <n v="0"/>
    <m/>
    <n v="0"/>
    <n v="0"/>
    <n v="0"/>
    <n v="0"/>
    <n v="749561.4839582464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488405.10801459721"/>
    <n v="0"/>
    <n v="0"/>
    <m/>
    <n v="0"/>
    <n v="0"/>
    <n v="0"/>
    <n v="0"/>
    <n v="488405.10801459721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3233296.600181103"/>
    <n v="7632870.0065635424"/>
    <n v="0"/>
    <m/>
    <n v="0"/>
    <n v="0"/>
    <n v="0"/>
    <n v="34221449.144391388"/>
    <n v="-18621022.550773829"/>
    <n v="0"/>
    <n v="0"/>
    <n v="0"/>
    <n v="0"/>
    <n v="0"/>
    <n v="0"/>
    <n v="0"/>
    <n v="0"/>
    <n v="0"/>
    <n v="0"/>
    <n v="1"/>
    <x v="1"/>
  </r>
  <r>
    <x v="14"/>
    <s v=""/>
    <n v="0"/>
    <n v="0"/>
    <x v="1"/>
    <s v="Vestdanmark"/>
    <n v="5720847.2834705068"/>
    <n v="5720847.2834705068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318920.65280775877"/>
    <n v="0"/>
    <n v="0"/>
    <m/>
    <n v="0"/>
    <n v="0"/>
    <n v="0"/>
    <n v="0"/>
    <n v="318920.6528077587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13317.1484140675"/>
    <n v="482187.74728528934"/>
    <n v="496834.86508299207"/>
    <m/>
    <n v="0"/>
    <n v="0"/>
    <n v="1234294.536045786"/>
    <n v="0"/>
    <n v="0"/>
    <n v="0"/>
    <n v="1234294.536045786"/>
    <n v="0"/>
    <n v="12.757429290020946"/>
    <n v="0"/>
    <n v="12.757429290020946"/>
    <n v="0"/>
    <n v="1049150.355638918"/>
    <n v="0"/>
    <n v="1049150.355638918"/>
    <n v="0"/>
    <x v="1"/>
  </r>
  <r>
    <x v="17"/>
    <s v="Bionedbrydeligt affald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1942953.6559396773"/>
    <n v="0"/>
    <m/>
    <n v="0"/>
    <n v="0"/>
    <n v="0"/>
    <n v="0"/>
    <n v="-1942953.6559396773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21188.13344095187"/>
    <n v="0"/>
    <n v="0"/>
    <m/>
    <n v="0"/>
    <n v="0"/>
    <n v="0"/>
    <n v="0"/>
    <n v="421188.13344095187"/>
    <n v="421188.13344095187"/>
    <n v="0"/>
    <n v="1.8250629366569919"/>
    <n v="1.8250629366569919"/>
    <n v="0"/>
    <n v="1.8250629366569919"/>
    <n v="176899.01604519979"/>
    <n v="176899.01604519979"/>
    <n v="0"/>
    <n v="176899.01604519979"/>
    <n v="0"/>
    <x v="0"/>
  </r>
  <r>
    <x v="20"/>
    <s v=""/>
    <n v="0"/>
    <n v="0"/>
    <x v="1"/>
    <s v="Vestdanmark"/>
    <n v="682243.34675238712"/>
    <n v="0"/>
    <n v="0"/>
    <m/>
    <n v="0"/>
    <n v="0"/>
    <n v="0"/>
    <n v="0"/>
    <n v="682243.34675238712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537122.9309529141"/>
    <n v="0"/>
    <n v="0"/>
    <m/>
    <n v="0"/>
    <n v="0"/>
    <n v="0"/>
    <n v="0"/>
    <n v="2537122.9309529141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698307.4709618408"/>
    <n v="2691129.5009707427"/>
    <n v="0"/>
    <m/>
    <n v="0"/>
    <n v="0"/>
    <n v="0"/>
    <n v="0"/>
    <n v="2007177.9699910982"/>
    <n v="2007177.9699910982"/>
    <n v="0"/>
    <n v="6.8743035423037133"/>
    <n v="6.8743035423037133"/>
    <n v="0"/>
    <n v="6.8743035423037133"/>
    <n v="622225.17069724039"/>
    <n v="622225.17069724039"/>
    <n v="0"/>
    <n v="622225.17069724039"/>
    <n v="0"/>
    <x v="0"/>
  </r>
  <r>
    <x v="23"/>
    <s v=""/>
    <n v="0"/>
    <n v="0"/>
    <x v="1"/>
    <s v="Vestdanmark"/>
    <n v="0"/>
    <n v="0"/>
    <n v="0"/>
    <m/>
    <n v="0"/>
    <n v="588433.36945369444"/>
    <n v="0"/>
    <n v="0"/>
    <n v="-588433.3694536944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6068128.1928290678"/>
    <n v="0"/>
    <n v="0"/>
    <m/>
    <n v="4551096.1446218006"/>
    <n v="1517032.048207267"/>
    <n v="0"/>
    <n v="0"/>
    <n v="0"/>
    <n v="0"/>
    <n v="4551096.1446218006"/>
    <n v="0"/>
    <n v="2.3037193574461097"/>
    <n v="2.3037193574461097"/>
    <n v="0"/>
    <n v="0"/>
    <n v="345883.30699125683"/>
    <n v="345883.30699125683"/>
    <n v="0"/>
    <n v="0"/>
    <x v="1"/>
  </r>
  <r>
    <x v="25"/>
    <s v=""/>
    <n v="0"/>
    <n v="0"/>
    <x v="1"/>
    <s v="Vestdanmark"/>
    <n v="706621.13097372942"/>
    <n v="609921.6300278171"/>
    <n v="0"/>
    <m/>
    <n v="0"/>
    <n v="0"/>
    <n v="0"/>
    <n v="0"/>
    <n v="96699.50094591232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4171283.8969927602"/>
    <n v="3525167.7695113975"/>
    <n v="0"/>
    <m/>
    <n v="0"/>
    <n v="0"/>
    <n v="0"/>
    <n v="0"/>
    <n v="646116.12748136278"/>
    <n v="646116.12748136278"/>
    <n v="0"/>
    <n v="2.3195568976580927"/>
    <n v="2.3195568976580927"/>
    <n v="0"/>
    <n v="2.3195568976580927"/>
    <n v="193834.83824440883"/>
    <n v="193834.83824440883"/>
    <n v="0"/>
    <n v="193834.83824440883"/>
    <n v="0"/>
    <x v="0"/>
  </r>
  <r>
    <x v="27"/>
    <s v=""/>
    <n v="0"/>
    <n v="1"/>
    <x v="1"/>
    <s v="Vestdanmark"/>
    <n v="1363412.0539430196"/>
    <n v="0"/>
    <n v="0"/>
    <m/>
    <n v="0"/>
    <n v="0"/>
    <n v="0"/>
    <n v="0"/>
    <n v="1363412.0539430196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87951.528514645848"/>
    <n v="0"/>
    <n v="0"/>
    <m/>
    <n v="0"/>
    <n v="0"/>
    <n v="0"/>
    <n v="0"/>
    <n v="87951.52851464584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037736.7550566321"/>
    <n v="0"/>
    <n v="0"/>
    <m/>
    <n v="0"/>
    <n v="0"/>
    <n v="0"/>
    <n v="0"/>
    <n v="1037736.7550566321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897193.5214277351"/>
    <n v="0"/>
    <n v="0"/>
    <m/>
    <n v="0"/>
    <n v="0"/>
    <n v="897193.5214277351"/>
    <n v="0"/>
    <n v="0"/>
    <n v="0"/>
    <n v="897193.5214277351"/>
    <n v="0"/>
    <n v="16.508360794270324"/>
    <n v="0"/>
    <n v="16.508360794270324"/>
    <n v="0"/>
    <n v="372335.31139251008"/>
    <n v="0"/>
    <n v="372335.31139251008"/>
    <n v="0"/>
    <x v="1"/>
  </r>
  <r>
    <x v="32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123110.9588889731"/>
    <n v="0"/>
    <n v="0"/>
    <m/>
    <n v="0"/>
    <n v="0"/>
    <n v="0"/>
    <n v="0"/>
    <n v="2123110.958888973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6385.00175039668"/>
    <n v="0"/>
    <n v="0"/>
    <m/>
    <n v="0"/>
    <n v="0"/>
    <n v="0"/>
    <n v="736385.0017503966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368192.50087519834"/>
    <n v="133537.51054598394"/>
    <n v="0"/>
    <m/>
    <n v="0"/>
    <n v="0"/>
    <n v="0"/>
    <n v="0"/>
    <n v="234654.9903292144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5643.20056012695"/>
    <n v="0"/>
    <n v="0"/>
    <m/>
    <n v="0"/>
    <n v="0"/>
    <n v="235643.20056012695"/>
    <n v="0"/>
    <n v="0"/>
    <n v="0"/>
    <n v="235643.20056012695"/>
    <n v="0"/>
    <n v="8.2475120196044429"/>
    <n v="0"/>
    <n v="8.2475120196044429"/>
    <n v="0"/>
    <n v="0"/>
    <n v="0"/>
    <n v="0"/>
    <n v="0"/>
    <x v="1"/>
  </r>
  <r>
    <x v="38"/>
    <s v="Græs og urter"/>
    <n v="1"/>
    <n v="1"/>
    <x v="1"/>
    <s v="Vestdanmark"/>
    <n v="2891451.8691946529"/>
    <n v="524651.55817020475"/>
    <n v="0"/>
    <m/>
    <n v="0"/>
    <n v="0"/>
    <n v="0"/>
    <n v="0"/>
    <n v="2366800.3110244479"/>
    <n v="2366800.3110244479"/>
    <n v="0"/>
    <n v="6.423590716132793"/>
    <n v="6.423590716132793"/>
    <n v="0"/>
    <n v="6.423590716132793"/>
    <n v="473360.0622048896"/>
    <n v="473360.0622048896"/>
    <n v="0"/>
    <n v="473360.0622048896"/>
    <n v="0"/>
    <x v="0"/>
  </r>
  <r>
    <x v="39"/>
    <s v=""/>
    <n v="0"/>
    <n v="0"/>
    <x v="1"/>
    <s v="Vestdanmark"/>
    <n v="141637.01837439084"/>
    <n v="0"/>
    <n v="0"/>
    <m/>
    <n v="0"/>
    <n v="0"/>
    <n v="0"/>
    <n v="0"/>
    <n v="141637.01837439084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90522.550539010685"/>
    <n v="27571.70194124684"/>
    <n v="0"/>
    <m/>
    <n v="0"/>
    <n v="0"/>
    <n v="0"/>
    <n v="0"/>
    <n v="62950.84859776384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05227.9830927276"/>
    <n v="0"/>
    <n v="0"/>
    <m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  <n v="0"/>
    <x v="0"/>
  </r>
  <r>
    <x v="42"/>
    <s v="Husdyrgødning"/>
    <n v="1"/>
    <n v="0"/>
    <x v="1"/>
    <s v="Vestdanmark"/>
    <n v="10497145.511353366"/>
    <n v="0"/>
    <n v="0"/>
    <m/>
    <n v="7872859.1335150246"/>
    <n v="2624286.3778383415"/>
    <n v="0"/>
    <n v="0"/>
    <n v="0"/>
    <n v="0"/>
    <n v="7872859.1335150246"/>
    <n v="0"/>
    <n v="3.3916277147182732"/>
    <n v="3.3916277147182732"/>
    <n v="0"/>
    <n v="0"/>
    <n v="393642.95667575125"/>
    <n v="393642.95667575125"/>
    <n v="0"/>
    <n v="0"/>
    <x v="1"/>
  </r>
  <r>
    <x v="43"/>
    <s v=""/>
    <n v="0"/>
    <n v="1"/>
    <x v="1"/>
    <s v="Vestdanmark"/>
    <n v="951875.76678713446"/>
    <n v="0"/>
    <n v="0"/>
    <m/>
    <n v="0"/>
    <n v="0"/>
    <n v="0"/>
    <n v="0"/>
    <n v="951875.7667871344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n v="0"/>
    <x v="1"/>
  </r>
  <r>
    <x v="47"/>
    <s v="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m/>
    <n v="0"/>
    <n v="0"/>
    <n v="0"/>
    <n v="0"/>
    <n v="38948.680417674739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669028.68943321821"/>
    <n v="5403.1676876681813"/>
    <n v="0"/>
    <m/>
    <n v="0"/>
    <n v="0"/>
    <n v="0"/>
    <n v="0"/>
    <n v="663625.52174554998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143267380.83343491"/>
    <n v="0"/>
    <n v="0"/>
    <m/>
    <n v="0"/>
    <n v="0"/>
    <n v="143267380.83343491"/>
    <n v="0"/>
    <n v="0"/>
    <n v="0"/>
    <n v="143267380.83343491"/>
    <n v="0"/>
    <n v="0"/>
    <n v="0"/>
    <n v="0"/>
    <n v="0"/>
    <n v="0"/>
    <n v="0"/>
    <n v="0"/>
    <n v="0"/>
    <x v="1"/>
  </r>
  <r>
    <x v="4"/>
    <s v=""/>
    <n v="0"/>
    <n v="0"/>
    <x v="2"/>
    <s v="Vestdanmark"/>
    <n v="7170282.0619360534"/>
    <n v="0"/>
    <n v="0"/>
    <m/>
    <n v="0"/>
    <n v="176554.0416515274"/>
    <n v="0"/>
    <n v="0"/>
    <n v="6993728.020284526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6329623.0926010143"/>
    <n v="0"/>
    <n v="0"/>
    <m/>
    <n v="5696660.7833409132"/>
    <n v="0"/>
    <n v="0"/>
    <n v="0"/>
    <n v="632962.30926010106"/>
    <n v="632962.30926010106"/>
    <n v="5696660.7833409132"/>
    <n v="0.35953909737938478"/>
    <n v="3.5953909737938501"/>
    <n v="3.2358518764144653"/>
    <n v="0.35953909737938483"/>
    <n v="27067.612540795355"/>
    <n v="270676.12540795375"/>
    <n v="243608.51286715837"/>
    <n v="27067.61254079538"/>
    <n v="0"/>
    <x v="0"/>
  </r>
  <r>
    <x v="6"/>
    <s v="Husdyrgødning"/>
    <n v="1"/>
    <n v="0"/>
    <x v="2"/>
    <s v="Vestdanmark"/>
    <n v="575834.83314211352"/>
    <n v="0"/>
    <n v="0"/>
    <m/>
    <n v="518251.34982790216"/>
    <n v="21799.461540380005"/>
    <n v="0"/>
    <n v="0"/>
    <n v="35784.021773831337"/>
    <n v="35784.021773831337"/>
    <n v="518251.34982790216"/>
    <n v="7.7078782900832699E-2"/>
    <n v="1.1933921904301341"/>
    <n v="1.1163134075293013"/>
    <n v="7.707878290083281E-2"/>
    <n v="10735.206532149401"/>
    <n v="166210.61148052005"/>
    <n v="155475.40494837065"/>
    <n v="10735.206532149401"/>
    <n v="0"/>
    <x v="0"/>
  </r>
  <r>
    <x v="7"/>
    <s v=""/>
    <n v="0"/>
    <n v="0"/>
    <x v="2"/>
    <s v="Vestdanmark"/>
    <n v="4458195.0067192381"/>
    <n v="691266.04395840655"/>
    <n v="0"/>
    <m/>
    <n v="0"/>
    <n v="0"/>
    <n v="0"/>
    <n v="0"/>
    <n v="3766928.9627608317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m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m/>
    <n v="0"/>
    <n v="0"/>
    <n v="0"/>
    <n v="0"/>
    <n v="6001.6248923716248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62819.759709472717"/>
    <n v="0"/>
    <n v="0"/>
    <m/>
    <n v="0"/>
    <n v="0"/>
    <n v="0"/>
    <n v="0"/>
    <n v="62819.759709472717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774671.670329666"/>
    <n v="0"/>
    <n v="0"/>
    <m/>
    <n v="0"/>
    <n v="0"/>
    <n v="0"/>
    <n v="0"/>
    <n v="774671.670329666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34445105.835390486"/>
    <n v="1025176.0247393751"/>
    <n v="0"/>
    <m/>
    <n v="0"/>
    <n v="0"/>
    <n v="0"/>
    <n v="12953227.102583883"/>
    <n v="20466702.708067227"/>
    <n v="20466702.708067227"/>
    <n v="0"/>
    <n v="37.656174645005194"/>
    <n v="37.656174645005194"/>
    <n v="0"/>
    <n v="37.656174645005194"/>
    <n v="5730676.7582588242"/>
    <n v="5730676.7582588242"/>
    <n v="0"/>
    <n v="5730676.7582588242"/>
    <n v="0"/>
    <x v="0"/>
  </r>
  <r>
    <x v="14"/>
    <s v=""/>
    <n v="0"/>
    <n v="0"/>
    <x v="2"/>
    <s v="Vestdanmark"/>
    <n v="2165409.00326363"/>
    <n v="2165409.00326363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01754.85239496577"/>
    <n v="0"/>
    <n v="0"/>
    <m/>
    <n v="0"/>
    <n v="0"/>
    <n v="0"/>
    <n v="0"/>
    <n v="301754.8523949657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13186.46186449786"/>
    <n v="64762.968256356122"/>
    <n v="70290.546378545216"/>
    <m/>
    <n v="0"/>
    <n v="0"/>
    <n v="578132.94722959655"/>
    <n v="0"/>
    <n v="0"/>
    <n v="0"/>
    <n v="578132.94722959655"/>
    <n v="0"/>
    <n v="5.9754701808380979"/>
    <n v="0"/>
    <n v="5.9754701808380979"/>
    <n v="0"/>
    <n v="491413.00514515705"/>
    <n v="0"/>
    <n v="491413.00514515705"/>
    <n v="0"/>
    <x v="1"/>
  </r>
  <r>
    <x v="17"/>
    <s v="Bionedbrydeligt affald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7306.9698136746"/>
    <n v="0"/>
    <n v="0"/>
    <m/>
    <n v="0"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  <n v="0"/>
    <x v="0"/>
  </r>
  <r>
    <x v="20"/>
    <s v=""/>
    <n v="0"/>
    <n v="0"/>
    <x v="2"/>
    <s v="Vestdanmark"/>
    <n v="386762.96576702269"/>
    <n v="0"/>
    <n v="0"/>
    <m/>
    <n v="0"/>
    <n v="0"/>
    <n v="0"/>
    <n v="0"/>
    <n v="386762.96576702269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337126.3206842514"/>
    <n v="0"/>
    <n v="0"/>
    <m/>
    <n v="0"/>
    <n v="0"/>
    <n v="0"/>
    <n v="0"/>
    <n v="2337126.3206842514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82048.93054039421"/>
    <n v="123145.11430255328"/>
    <n v="0"/>
    <m/>
    <n v="0"/>
    <n v="0"/>
    <n v="0"/>
    <n v="0"/>
    <n v="358903.81623784092"/>
    <n v="358903.81623784092"/>
    <n v="0"/>
    <n v="1.2291953240803322"/>
    <n v="1.2291953240803322"/>
    <n v="0"/>
    <n v="1.2291953240803322"/>
    <n v="111260.18303373069"/>
    <n v="111260.18303373069"/>
    <n v="0"/>
    <n v="111260.18303373069"/>
    <n v="0"/>
    <x v="0"/>
  </r>
  <r>
    <x v="23"/>
    <s v=""/>
    <n v="0"/>
    <n v="0"/>
    <x v="2"/>
    <s v="Vestdanmark"/>
    <n v="0"/>
    <n v="0"/>
    <n v="0"/>
    <m/>
    <n v="0"/>
    <n v="1065538.7961780522"/>
    <n v="0"/>
    <n v="0"/>
    <n v="-1065538.7961780522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68744.822418311582"/>
    <n v="0"/>
    <n v="0"/>
    <m/>
    <n v="61870.340176480422"/>
    <n v="6874.4822418311569"/>
    <n v="0"/>
    <n v="0"/>
    <n v="0"/>
    <n v="0"/>
    <n v="61870.340176480422"/>
    <n v="0"/>
    <n v="3.1318147493932628E-2"/>
    <n v="3.1318147493932628E-2"/>
    <n v="0"/>
    <n v="0"/>
    <n v="4702.1458534125122"/>
    <n v="4702.1458534125122"/>
    <n v="0"/>
    <n v="0"/>
    <x v="1"/>
  </r>
  <r>
    <x v="25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513235.88893477799"/>
    <n v="472676.57715918368"/>
    <n v="0"/>
    <m/>
    <n v="0"/>
    <n v="0"/>
    <n v="0"/>
    <n v="0"/>
    <n v="40559.311775594309"/>
    <n v="40559.311775594309"/>
    <n v="0"/>
    <n v="0.1456079292743836"/>
    <n v="0.1456079292743836"/>
    <n v="0"/>
    <n v="0.1456079292743836"/>
    <n v="12167.793532678292"/>
    <n v="12167.793532678292"/>
    <n v="0"/>
    <n v="12167.793532678292"/>
    <n v="0"/>
    <x v="0"/>
  </r>
  <r>
    <x v="27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915.1017916004403"/>
    <n v="0"/>
    <n v="0"/>
    <m/>
    <n v="0"/>
    <n v="0"/>
    <n v="0"/>
    <n v="0"/>
    <n v="3915.1017916004403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90697.791194463221"/>
    <n v="0"/>
    <n v="0"/>
    <m/>
    <n v="0"/>
    <n v="0"/>
    <n v="0"/>
    <n v="0"/>
    <n v="90697.791194463221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15903.5397993135"/>
    <n v="0"/>
    <n v="0"/>
    <m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  <n v="0"/>
    <x v="1"/>
  </r>
  <r>
    <x v="32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Vestdanmark"/>
    <n v="649292.34846099082"/>
    <n v="0"/>
    <n v="0"/>
    <m/>
    <n v="0"/>
    <n v="0"/>
    <n v="0"/>
    <n v="649292.3484609908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324646.17423049541"/>
    <n v="17935.514963231879"/>
    <n v="0"/>
    <m/>
    <n v="0"/>
    <n v="0"/>
    <n v="0"/>
    <n v="0"/>
    <n v="306710.6592672635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207773.55150751706"/>
    <n v="0"/>
    <n v="0"/>
    <m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  <n v="0"/>
    <x v="1"/>
  </r>
  <r>
    <x v="38"/>
    <s v="Græs og urter"/>
    <n v="1"/>
    <n v="1"/>
    <x v="2"/>
    <s v="Vestdanmark"/>
    <n v="2749867.8949207771"/>
    <n v="70466.311926672526"/>
    <n v="0"/>
    <m/>
    <n v="0"/>
    <n v="0"/>
    <n v="0"/>
    <n v="0"/>
    <n v="2679401.5829941044"/>
    <n v="2679401.5829941044"/>
    <n v="0"/>
    <n v="7.2720030723093192"/>
    <n v="7.2720030723093192"/>
    <n v="0"/>
    <n v="7.2720030723093192"/>
    <n v="535880.31659882085"/>
    <n v="535880.31659882085"/>
    <n v="0"/>
    <n v="535880.31659882085"/>
    <n v="0"/>
    <x v="0"/>
  </r>
  <r>
    <x v="39"/>
    <s v=""/>
    <n v="0"/>
    <n v="0"/>
    <x v="2"/>
    <s v="Vestdanmark"/>
    <n v="6885.6435501498472"/>
    <n v="0"/>
    <n v="0"/>
    <m/>
    <n v="0"/>
    <n v="0"/>
    <n v="0"/>
    <n v="0"/>
    <n v="6885.6435501498472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618.1462568237339"/>
    <n v="4432.6987357664457"/>
    <n v="0"/>
    <m/>
    <n v="0"/>
    <n v="0"/>
    <n v="0"/>
    <n v="0"/>
    <n v="185.4475210572882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002333.5486616795"/>
    <n v="0"/>
    <n v="0"/>
    <m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  <n v="0"/>
    <x v="0"/>
  </r>
  <r>
    <x v="42"/>
    <s v="Husdyrgødning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48971.913359549246"/>
    <n v="0"/>
    <n v="0"/>
    <m/>
    <n v="0"/>
    <n v="0"/>
    <n v="0"/>
    <n v="0"/>
    <n v="48971.913359549246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n v="0"/>
    <x v="1"/>
  </r>
  <r>
    <x v="47"/>
    <s v="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  <n v="0"/>
    <x v="0"/>
  </r>
  <r>
    <x v="23"/>
    <m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4322.21600404952"/>
    <n v="0"/>
    <n v="0"/>
    <m/>
    <n v="0"/>
    <n v="0"/>
    <n v="0"/>
    <n v="0"/>
    <n v="14322.2160040495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65990.97004737973"/>
    <n v="5130.0675922754808"/>
    <n v="0"/>
    <m/>
    <n v="0"/>
    <n v="0"/>
    <n v="0"/>
    <n v="0"/>
    <n v="160860.9024551042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71864818.658698291"/>
    <n v="0"/>
    <n v="0"/>
    <m/>
    <n v="0"/>
    <n v="0"/>
    <n v="71864818.658698291"/>
    <n v="0"/>
    <n v="0"/>
    <n v="0"/>
    <n v="71864818.658698291"/>
    <n v="0"/>
    <n v="0"/>
    <n v="0"/>
    <n v="0"/>
    <n v="0"/>
    <n v="0"/>
    <n v="0"/>
    <n v="0"/>
    <n v="0"/>
    <x v="1"/>
  </r>
  <r>
    <x v="4"/>
    <s v=""/>
    <n v="0"/>
    <n v="0"/>
    <x v="1"/>
    <s v="Østdanmark"/>
    <n v="4144858.0624243855"/>
    <n v="0"/>
    <n v="0"/>
    <m/>
    <n v="0"/>
    <n v="3460535.4285508459"/>
    <n v="0"/>
    <n v="0"/>
    <n v="684322.6338735395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2132472.7123802551"/>
    <n v="0"/>
    <n v="0"/>
    <m/>
    <n v="1599354.5342851914"/>
    <n v="0"/>
    <n v="0"/>
    <n v="0"/>
    <n v="533118.17809506366"/>
    <n v="533118.17809506366"/>
    <n v="1599354.5342851914"/>
    <n v="0.30282502724830679"/>
    <n v="1.2113001089932274"/>
    <n v="0.90847508174492064"/>
    <n v="0.30282502724830673"/>
    <n v="22797.93926434591"/>
    <n v="91191.757057383671"/>
    <n v="68393.817793037757"/>
    <n v="22797.939264345914"/>
    <n v="0"/>
    <x v="0"/>
  </r>
  <r>
    <x v="6"/>
    <s v="Husdyrgødning"/>
    <n v="1"/>
    <n v="0"/>
    <x v="1"/>
    <s v="Østdanmark"/>
    <n v="237805.24041385058"/>
    <n v="0"/>
    <n v="0"/>
    <m/>
    <n v="178353.93031038792"/>
    <n v="22506.567396310857"/>
    <n v="0"/>
    <n v="0"/>
    <n v="36944.742707151803"/>
    <n v="36944.742707151803"/>
    <n v="178353.93031038792"/>
    <n v="7.9578975791204987E-2"/>
    <n v="0.46375334167978055"/>
    <n v="0.38417436588857556"/>
    <n v="7.9578975791204987E-2"/>
    <n v="11083.42281214554"/>
    <n v="64589.601905261916"/>
    <n v="53506.179093116378"/>
    <n v="11083.422812145538"/>
    <n v="0"/>
    <x v="0"/>
  </r>
  <r>
    <x v="7"/>
    <s v=""/>
    <n v="0"/>
    <n v="0"/>
    <x v="1"/>
    <s v="Østdanmark"/>
    <n v="1501981.8809451428"/>
    <n v="232890.00848399676"/>
    <n v="0"/>
    <m/>
    <n v="0"/>
    <n v="0"/>
    <n v="0"/>
    <n v="0"/>
    <n v="1269091.872461146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541.37976495307191"/>
    <n v="0"/>
    <n v="0"/>
    <m/>
    <n v="406.03482371480391"/>
    <n v="135.34494123826798"/>
    <n v="0"/>
    <n v="0"/>
    <n v="0"/>
    <n v="0"/>
    <n v="406.03482371480391"/>
    <n v="0"/>
    <n v="1.9095411724483514E-4"/>
    <n v="1.9095411724483514E-4"/>
    <n v="0"/>
    <n v="0"/>
    <n v="25.580193894032647"/>
    <n v="25.580193894032647"/>
    <n v="0"/>
    <n v="0"/>
    <x v="1"/>
  </r>
  <r>
    <x v="9"/>
    <s v=""/>
    <n v="0"/>
    <n v="1"/>
    <x v="1"/>
    <s v="Østdanmark"/>
    <n v="12283.299585125167"/>
    <n v="0"/>
    <n v="0"/>
    <m/>
    <n v="0"/>
    <n v="0"/>
    <n v="0"/>
    <n v="0"/>
    <n v="12283.299585125167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39925.67708956901"/>
    <n v="0"/>
    <n v="0"/>
    <m/>
    <n v="0"/>
    <n v="0"/>
    <n v="0"/>
    <n v="0"/>
    <n v="239925.67708956901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50209.37360134395"/>
    <n v="0"/>
    <n v="0"/>
    <m/>
    <n v="0"/>
    <n v="0"/>
    <n v="0"/>
    <n v="0"/>
    <n v="150209.37360134395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569596.6515662586"/>
    <n v="973359.07469549077"/>
    <n v="0"/>
    <m/>
    <n v="0"/>
    <n v="0"/>
    <n v="0"/>
    <n v="4363988.6497844672"/>
    <n v="1232248.9270863002"/>
    <n v="0"/>
    <n v="0"/>
    <n v="0"/>
    <n v="0"/>
    <n v="0"/>
    <n v="0"/>
    <n v="0"/>
    <n v="0"/>
    <n v="0"/>
    <n v="0"/>
    <n v="1"/>
    <x v="1"/>
  </r>
  <r>
    <x v="14"/>
    <s v=""/>
    <n v="0"/>
    <n v="0"/>
    <x v="1"/>
    <s v="Østdanmark"/>
    <n v="729534.05645906925"/>
    <n v="729534.05645906925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98055.31431785204"/>
    <n v="0"/>
    <n v="0"/>
    <m/>
    <n v="0"/>
    <n v="0"/>
    <n v="0"/>
    <n v="0"/>
    <n v="98055.31431785204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75411.68414554815"/>
    <n v="61489.560168524164"/>
    <n v="70710.376470197152"/>
    <m/>
    <n v="0"/>
    <n v="0"/>
    <n v="543211.74750682688"/>
    <n v="0"/>
    <n v="0"/>
    <n v="0"/>
    <n v="543211.74750682688"/>
    <n v="0"/>
    <n v="5.6145314233733172"/>
    <n v="0"/>
    <n v="5.6145314233733172"/>
    <n v="0"/>
    <n v="461729.98538080283"/>
    <n v="0"/>
    <n v="461729.98538080283"/>
    <n v="0"/>
    <x v="1"/>
  </r>
  <r>
    <x v="17"/>
    <s v="Bionedbrydeligt affald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247769.39356957743"/>
    <n v="0"/>
    <m/>
    <n v="0"/>
    <n v="0"/>
    <n v="0"/>
    <n v="0"/>
    <n v="-247769.39356957743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91070.85109932383"/>
    <n v="0"/>
    <n v="0"/>
    <m/>
    <n v="0"/>
    <n v="0"/>
    <n v="0"/>
    <n v="0"/>
    <n v="191070.85109932383"/>
    <n v="191070.85109932383"/>
    <n v="0"/>
    <n v="0.82793483702401316"/>
    <n v="0.82793483702401316"/>
    <n v="0"/>
    <n v="0.82793483702401316"/>
    <n v="80249.757461715999"/>
    <n v="80249.757461715999"/>
    <n v="0"/>
    <n v="80249.757461715999"/>
    <n v="0"/>
    <x v="0"/>
  </r>
  <r>
    <x v="20"/>
    <s v=""/>
    <n v="0"/>
    <n v="0"/>
    <x v="1"/>
    <s v="Østdanmark"/>
    <n v="205340.3536719332"/>
    <n v="0"/>
    <n v="0"/>
    <m/>
    <n v="0"/>
    <n v="0"/>
    <n v="0"/>
    <n v="0"/>
    <n v="205340.3536719332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757571.37538443948"/>
    <n v="0"/>
    <n v="0"/>
    <m/>
    <n v="0"/>
    <n v="0"/>
    <n v="0"/>
    <n v="0"/>
    <n v="757571.37538443948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426697.7169863379"/>
    <n v="343178.29580461275"/>
    <n v="0"/>
    <m/>
    <n v="0"/>
    <n v="0"/>
    <n v="0"/>
    <n v="0"/>
    <n v="1083519.4211817251"/>
    <n v="1083519.4211817251"/>
    <n v="0"/>
    <n v="3.7109023248284436"/>
    <n v="3.7109023248284436"/>
    <n v="0"/>
    <n v="3.7109023248284436"/>
    <n v="335891.02056633477"/>
    <n v="335891.02056633477"/>
    <n v="0"/>
    <n v="335891.02056633477"/>
    <n v="0"/>
    <x v="0"/>
  </r>
  <r>
    <x v="23"/>
    <s v=""/>
    <n v="0"/>
    <n v="0"/>
    <x v="1"/>
    <s v="Østdanmark"/>
    <n v="0"/>
    <n v="0"/>
    <n v="0"/>
    <m/>
    <n v="0"/>
    <n v="341428.57128038822"/>
    <n v="0"/>
    <n v="0"/>
    <n v="-341428.57128038822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431286.20272258902"/>
    <n v="0"/>
    <n v="0"/>
    <m/>
    <n v="323464.65204194176"/>
    <n v="107821.55068064725"/>
    <n v="0"/>
    <n v="0"/>
    <n v="0"/>
    <n v="0"/>
    <n v="323464.65204194176"/>
    <n v="0"/>
    <n v="0.16373457221711052"/>
    <n v="0.16373457221711052"/>
    <n v="0"/>
    <n v="0"/>
    <n v="24583.313555187575"/>
    <n v="24583.313555187575"/>
    <n v="0"/>
    <n v="0"/>
    <x v="1"/>
  </r>
  <r>
    <x v="25"/>
    <s v=""/>
    <n v="0"/>
    <n v="0"/>
    <x v="1"/>
    <s v="Østdanmark"/>
    <n v="50222.397196773512"/>
    <n v="77778.444140950829"/>
    <n v="0"/>
    <m/>
    <n v="0"/>
    <n v="0"/>
    <n v="0"/>
    <n v="0"/>
    <n v="-27556.046944177317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224051.0749297491"/>
    <n v="449536.54854955326"/>
    <n v="0"/>
    <m/>
    <n v="0"/>
    <n v="0"/>
    <n v="0"/>
    <n v="0"/>
    <n v="774514.52638019586"/>
    <n v="774514.52638019586"/>
    <n v="0"/>
    <n v="2.7805071497049036"/>
    <n v="2.7805071497049036"/>
    <n v="0"/>
    <n v="2.7805071497049036"/>
    <n v="232354.35791405875"/>
    <n v="232354.35791405875"/>
    <n v="0"/>
    <n v="232354.35791405875"/>
    <n v="0"/>
    <x v="0"/>
  </r>
  <r>
    <x v="27"/>
    <s v=""/>
    <n v="0"/>
    <n v="1"/>
    <x v="1"/>
    <s v="Østdanmark"/>
    <n v="96903.161700864599"/>
    <n v="0"/>
    <n v="0"/>
    <m/>
    <n v="0"/>
    <n v="0"/>
    <n v="0"/>
    <n v="0"/>
    <n v="96903.16170086459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251.0678007025454"/>
    <n v="0"/>
    <n v="0"/>
    <m/>
    <n v="0"/>
    <n v="0"/>
    <n v="0"/>
    <n v="0"/>
    <n v="6251.0678007025454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11483.30240974069"/>
    <n v="0"/>
    <n v="0"/>
    <m/>
    <n v="0"/>
    <n v="0"/>
    <n v="0"/>
    <n v="0"/>
    <n v="311483.3024097406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72470.87062579964"/>
    <n v="0"/>
    <n v="0"/>
    <m/>
    <n v="0"/>
    <n v="0"/>
    <n v="272470.87062579964"/>
    <n v="0"/>
    <n v="0"/>
    <n v="0"/>
    <n v="272470.87062579964"/>
    <n v="0"/>
    <n v="5.0134640195147124"/>
    <n v="0"/>
    <n v="5.0134640195147124"/>
    <n v="0"/>
    <n v="113075.41130970686"/>
    <n v="0"/>
    <n v="113075.41130970686"/>
    <n v="0"/>
    <x v="1"/>
  </r>
  <r>
    <x v="32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150898.00912578267"/>
    <n v="0"/>
    <n v="0"/>
    <m/>
    <n v="0"/>
    <n v="0"/>
    <n v="0"/>
    <n v="0"/>
    <n v="150898.00912578267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5804.31636026004"/>
    <n v="0"/>
    <n v="0"/>
    <m/>
    <n v="0"/>
    <n v="0"/>
    <n v="0"/>
    <n v="225804.3163602600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12902.15818013002"/>
    <n v="17028.97436880333"/>
    <n v="0"/>
    <m/>
    <n v="0"/>
    <n v="0"/>
    <n v="0"/>
    <n v="0"/>
    <n v="95873.18381132668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2257.381235283217"/>
    <n v="0"/>
    <n v="0"/>
    <m/>
    <n v="0"/>
    <n v="0"/>
    <n v="72257.381235283217"/>
    <n v="0"/>
    <n v="0"/>
    <n v="0"/>
    <n v="72257.381235283217"/>
    <n v="0"/>
    <n v="2.5290083432349122"/>
    <n v="0"/>
    <n v="2.5290083432349122"/>
    <n v="0"/>
    <n v="0"/>
    <n v="0"/>
    <n v="0"/>
    <n v="0"/>
    <x v="1"/>
  </r>
  <r>
    <x v="38"/>
    <s v="Græs og urter"/>
    <n v="1"/>
    <n v="1"/>
    <x v="1"/>
    <s v="Østdanmark"/>
    <n v="898519.08431343141"/>
    <n v="66904.631515926056"/>
    <n v="0"/>
    <m/>
    <n v="0"/>
    <n v="0"/>
    <n v="0"/>
    <n v="0"/>
    <n v="831614.45279750531"/>
    <n v="831614.45279750531"/>
    <n v="0"/>
    <n v="2.2570348894705412"/>
    <n v="2.2570348894705412"/>
    <n v="0"/>
    <n v="2.2570348894705412"/>
    <n v="166322.89055950107"/>
    <n v="166322.89055950107"/>
    <n v="0"/>
    <n v="166322.89055950107"/>
    <n v="0"/>
    <x v="0"/>
  </r>
  <r>
    <x v="39"/>
    <s v=""/>
    <n v="0"/>
    <n v="0"/>
    <x v="1"/>
    <s v="Østdanmark"/>
    <n v="16250.349472544192"/>
    <n v="0"/>
    <n v="0"/>
    <m/>
    <n v="0"/>
    <n v="0"/>
    <n v="0"/>
    <n v="0"/>
    <n v="16250.349472544192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2700.787430000357"/>
    <n v="3515.9993902993874"/>
    <n v="0"/>
    <m/>
    <n v="0"/>
    <n v="0"/>
    <n v="0"/>
    <n v="0"/>
    <n v="9184.7880397009685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9172.5135239428"/>
    <n v="0"/>
    <n v="0"/>
    <m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  <n v="0"/>
    <x v="0"/>
  </r>
  <r>
    <x v="42"/>
    <s v="Husdyrgødning"/>
    <n v="1"/>
    <n v="0"/>
    <x v="1"/>
    <s v="Østdanmark"/>
    <n v="1521006.1015498589"/>
    <n v="0"/>
    <n v="0"/>
    <m/>
    <n v="1140754.5761623941"/>
    <n v="380251.52538746473"/>
    <n v="0"/>
    <n v="0"/>
    <n v="0"/>
    <n v="0"/>
    <n v="1140754.5761623941"/>
    <n v="0"/>
    <n v="0.49143707141075949"/>
    <n v="0.49143707141075949"/>
    <n v="0"/>
    <n v="0"/>
    <n v="57037.728808119711"/>
    <n v="57037.728808119711"/>
    <n v="0"/>
    <n v="0"/>
    <x v="1"/>
  </r>
  <r>
    <x v="43"/>
    <s v=""/>
    <n v="0"/>
    <n v="1"/>
    <x v="1"/>
    <s v="Østdanmark"/>
    <n v="137924.05255645732"/>
    <n v="0"/>
    <n v="0"/>
    <m/>
    <n v="0"/>
    <n v="0"/>
    <n v="0"/>
    <n v="0"/>
    <n v="137924.05255645732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n v="0"/>
    <x v="1"/>
  </r>
  <r>
    <x v="47"/>
    <s v="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m/>
    <n v="0"/>
    <n v="0"/>
    <n v="0"/>
    <n v="0"/>
    <n v="3268.9483710154163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22547.77389902543"/>
    <n v="724.66280069904622"/>
    <n v="0"/>
    <m/>
    <n v="0"/>
    <n v="0"/>
    <n v="0"/>
    <n v="0"/>
    <n v="221823.1110983263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34982106.843700282"/>
    <n v="0"/>
    <n v="0"/>
    <m/>
    <n v="0"/>
    <n v="0"/>
    <n v="34982106.843700282"/>
    <n v="0"/>
    <n v="0"/>
    <n v="0"/>
    <n v="34982106.843700282"/>
    <n v="0"/>
    <n v="0"/>
    <n v="0"/>
    <n v="0"/>
    <n v="0"/>
    <n v="0"/>
    <n v="0"/>
    <n v="0"/>
    <n v="0"/>
    <x v="1"/>
  </r>
  <r>
    <x v="4"/>
    <s v=""/>
    <n v="0"/>
    <n v="0"/>
    <x v="2"/>
    <s v="Østdanmark"/>
    <n v="1991891.0696177674"/>
    <n v="0"/>
    <n v="0"/>
    <m/>
    <n v="0"/>
    <n v="49046.385600017013"/>
    <n v="0"/>
    <n v="0"/>
    <n v="1942844.684017750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848917.27645660576"/>
    <n v="0"/>
    <n v="0"/>
    <m/>
    <n v="764025.54881094524"/>
    <n v="0"/>
    <n v="0"/>
    <n v="0"/>
    <n v="84891.727645660518"/>
    <n v="84891.727645660518"/>
    <n v="764025.54881094524"/>
    <n v="4.822071501915462E-2"/>
    <n v="0.48220715019154659"/>
    <n v="0.43398643517239194"/>
    <n v="4.8220715019154647E-2"/>
    <n v="3630.2578498196654"/>
    <n v="36302.578498196679"/>
    <n v="32672.320648377012"/>
    <n v="3630.2578498196672"/>
    <n v="0"/>
    <x v="0"/>
  </r>
  <r>
    <x v="6"/>
    <s v="Husdyrgødning"/>
    <n v="1"/>
    <n v="0"/>
    <x v="2"/>
    <s v="Østdanmark"/>
    <n v="81826.264655313833"/>
    <n v="0"/>
    <n v="0"/>
    <m/>
    <n v="73643.638189782447"/>
    <n v="3097.7085905225945"/>
    <n v="0"/>
    <n v="0"/>
    <n v="5084.9178750087885"/>
    <n v="5084.9178750087885"/>
    <n v="73643.638189782447"/>
    <n v="1.095291310276893E-2"/>
    <n v="0.16958130976356034"/>
    <n v="0.1586283966607914"/>
    <n v="1.0952913102768941E-2"/>
    <n v="1525.4753625026365"/>
    <n v="23618.566819437368"/>
    <n v="22093.091456934733"/>
    <n v="1525.4753625026351"/>
    <n v="0"/>
    <x v="0"/>
  </r>
  <r>
    <x v="7"/>
    <s v=""/>
    <n v="0"/>
    <n v="0"/>
    <x v="2"/>
    <s v="Østdanmark"/>
    <n v="597924.82232323941"/>
    <n v="92711.316101913326"/>
    <n v="0"/>
    <m/>
    <n v="0"/>
    <n v="0"/>
    <n v="0"/>
    <n v="0"/>
    <n v="505213.50622132607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m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m/>
    <n v="0"/>
    <n v="0"/>
    <n v="0"/>
    <n v="0"/>
    <n v="503.71416194271836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20896.559297118682"/>
    <n v="0"/>
    <n v="0"/>
    <m/>
    <n v="0"/>
    <n v="0"/>
    <n v="0"/>
    <n v="0"/>
    <n v="20896.55929711868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257689.18202978774"/>
    <n v="0"/>
    <n v="0"/>
    <m/>
    <n v="0"/>
    <n v="0"/>
    <n v="0"/>
    <n v="0"/>
    <n v="257689.18202978774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1397047.281261299"/>
    <n v="137494.70167152316"/>
    <n v="0"/>
    <m/>
    <n v="0"/>
    <n v="0"/>
    <n v="0"/>
    <n v="1737262.7267654187"/>
    <n v="9522289.8528243564"/>
    <n v="9522289.8528243564"/>
    <n v="0"/>
    <n v="17.519823042965214"/>
    <n v="17.519823042965214"/>
    <n v="0"/>
    <n v="17.519823042965214"/>
    <n v="2666241.1587908203"/>
    <n v="2666241.1587908203"/>
    <n v="0"/>
    <n v="2666241.1587908203"/>
    <n v="0"/>
    <x v="0"/>
  </r>
  <r>
    <x v="14"/>
    <s v=""/>
    <n v="0"/>
    <n v="0"/>
    <x v="2"/>
    <s v="Østdanmark"/>
    <n v="290420.62798557343"/>
    <n v="290420.62798557343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00376.66803290648"/>
    <n v="0"/>
    <n v="0"/>
    <m/>
    <n v="0"/>
    <n v="0"/>
    <n v="0"/>
    <n v="0"/>
    <n v="100376.66803290648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37236.55198901493"/>
    <n v="8685.8888472677336"/>
    <n v="9665.8931514547894"/>
    <m/>
    <n v="0"/>
    <n v="0"/>
    <n v="218884.76999029241"/>
    <n v="0"/>
    <n v="0"/>
    <n v="0"/>
    <n v="218884.76999029241"/>
    <n v="0"/>
    <n v="2.2623505932056318"/>
    <n v="0"/>
    <n v="2.2623505932056318"/>
    <n v="0"/>
    <n v="186052.05449174854"/>
    <n v="0"/>
    <n v="186052.05449174854"/>
    <n v="0"/>
    <x v="1"/>
  </r>
  <r>
    <x v="17"/>
    <s v="Bionedbrydeligt affald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748.58777288889"/>
    <n v="0"/>
    <n v="0"/>
    <m/>
    <n v="0"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  <n v="0"/>
    <x v="0"/>
  </r>
  <r>
    <x v="20"/>
    <s v=""/>
    <n v="0"/>
    <n v="0"/>
    <x v="2"/>
    <s v="Østdanmark"/>
    <n v="128654.0299653736"/>
    <n v="0"/>
    <n v="0"/>
    <m/>
    <n v="0"/>
    <n v="0"/>
    <n v="0"/>
    <n v="0"/>
    <n v="128654.029965373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777428.93272593827"/>
    <n v="0"/>
    <n v="0"/>
    <m/>
    <n v="0"/>
    <n v="0"/>
    <n v="0"/>
    <n v="0"/>
    <n v="777428.9327259382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60350.24819795735"/>
    <n v="16515.993687659306"/>
    <n v="0"/>
    <m/>
    <n v="0"/>
    <n v="0"/>
    <n v="0"/>
    <n v="0"/>
    <n v="143834.25451029805"/>
    <n v="143834.25451029805"/>
    <n v="0"/>
    <n v="0.49261218490213948"/>
    <n v="0.49261218490213948"/>
    <n v="0"/>
    <n v="0.49261218490213948"/>
    <n v="44588.618898192399"/>
    <n v="44588.618898192399"/>
    <n v="0"/>
    <n v="44588.618898192399"/>
    <n v="0"/>
    <x v="0"/>
  </r>
  <r>
    <x v="23"/>
    <s v=""/>
    <n v="0"/>
    <n v="0"/>
    <x v="2"/>
    <s v="Østdanmark"/>
    <n v="0"/>
    <n v="0"/>
    <n v="0"/>
    <m/>
    <n v="0"/>
    <n v="354450.69932080351"/>
    <n v="0"/>
    <n v="0"/>
    <n v="-354450.6993208035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4885.9701831397151"/>
    <n v="0"/>
    <n v="0"/>
    <m/>
    <n v="4397.3731648257435"/>
    <n v="488.59701831397138"/>
    <n v="0"/>
    <n v="0"/>
    <n v="0"/>
    <n v="0"/>
    <n v="4397.3731648257435"/>
    <n v="0"/>
    <n v="2.2259063223031435E-3"/>
    <n v="2.2259063223031435E-3"/>
    <n v="0"/>
    <n v="0"/>
    <n v="334.20036052675653"/>
    <n v="334.20036052675653"/>
    <n v="0"/>
    <n v="0"/>
    <x v="1"/>
  </r>
  <r>
    <x v="25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170724.37456200234"/>
    <n v="63394.503378227986"/>
    <n v="0"/>
    <m/>
    <n v="0"/>
    <n v="0"/>
    <n v="0"/>
    <n v="0"/>
    <n v="107329.87118377435"/>
    <n v="107329.87118377435"/>
    <n v="0"/>
    <n v="0.38531423754974992"/>
    <n v="0.38531423754974992"/>
    <n v="0"/>
    <n v="0.38531423754974992"/>
    <n v="32198.961355132302"/>
    <n v="32198.961355132302"/>
    <n v="0"/>
    <n v="32198.961355132302"/>
    <n v="0"/>
    <x v="0"/>
  </r>
  <r>
    <x v="27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78.2619831544028"/>
    <n v="0"/>
    <n v="0"/>
    <m/>
    <n v="0"/>
    <n v="0"/>
    <n v="0"/>
    <n v="0"/>
    <n v="278.2619831544028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30169.993972883625"/>
    <n v="0"/>
    <n v="0"/>
    <m/>
    <n v="0"/>
    <n v="0"/>
    <n v="0"/>
    <n v="0"/>
    <n v="30169.99397288362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437726.22620455944"/>
    <n v="0"/>
    <n v="0"/>
    <m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  <n v="0"/>
    <x v="1"/>
  </r>
  <r>
    <x v="32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Østdanmark"/>
    <n v="215982.61635398451"/>
    <n v="0"/>
    <n v="0"/>
    <m/>
    <n v="0"/>
    <n v="0"/>
    <n v="0"/>
    <n v="215982.6163539845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7991.30817699226"/>
    <n v="2405.4779078760002"/>
    <n v="0"/>
    <m/>
    <n v="0"/>
    <n v="0"/>
    <n v="0"/>
    <n v="0"/>
    <n v="105585.8302691162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9114.43723327505"/>
    <n v="0"/>
    <n v="0"/>
    <m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  <n v="0"/>
    <x v="1"/>
  </r>
  <r>
    <x v="38"/>
    <s v="Græs og urter"/>
    <n v="1"/>
    <n v="1"/>
    <x v="2"/>
    <s v="Østdanmark"/>
    <n v="914724.5674164847"/>
    <n v="9450.8106924500589"/>
    <n v="0"/>
    <m/>
    <n v="0"/>
    <n v="0"/>
    <n v="0"/>
    <n v="0"/>
    <n v="905273.75672403467"/>
    <n v="905273.75672403467"/>
    <n v="0"/>
    <n v="2.456949186699299"/>
    <n v="2.456949186699299"/>
    <n v="0"/>
    <n v="2.456949186699299"/>
    <n v="181054.75134480695"/>
    <n v="181054.75134480695"/>
    <n v="0"/>
    <n v="181054.75134480695"/>
    <n v="0"/>
    <x v="0"/>
  </r>
  <r>
    <x v="39"/>
    <s v=""/>
    <n v="0"/>
    <n v="0"/>
    <x v="2"/>
    <s v="Østdanmark"/>
    <n v="807.52489656472994"/>
    <n v="0"/>
    <n v="0"/>
    <m/>
    <n v="0"/>
    <n v="0"/>
    <n v="0"/>
    <n v="0"/>
    <n v="807.52489656472994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650.65285036970454"/>
    <n v="594.50530988460082"/>
    <n v="0"/>
    <m/>
    <n v="0"/>
    <n v="0"/>
    <n v="0"/>
    <n v="0"/>
    <n v="56.1475404851037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491788.2152479719"/>
    <n v="0"/>
    <n v="0"/>
    <m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  <n v="0"/>
    <x v="0"/>
  </r>
  <r>
    <x v="42"/>
    <s v="Husdyrgødning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7095.888967518189"/>
    <n v="0"/>
    <n v="0"/>
    <m/>
    <n v="0"/>
    <n v="0"/>
    <n v="0"/>
    <n v="0"/>
    <n v="7095.888967518189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n v="0"/>
    <x v="1"/>
  </r>
  <r>
    <x v="47"/>
    <s v="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2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64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7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8">
      <pivotArea outline="0" collapsedLevelsAreSubtotals="1" fieldPosition="0"/>
    </format>
  </formats>
  <chartFormats count="13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6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K9" firstHeaderRow="1" firstDataRow="2" firstDataCol="1" rowPageCount="1" colPageCount="1"/>
  <pivotFields count="27">
    <pivotField axis="axisCol" showAll="0">
      <items count="49">
        <item h="1" x="0"/>
        <item x="1"/>
        <item h="1" x="2"/>
        <item h="1" x="4"/>
        <item h="1" x="6"/>
        <item h="1" x="9"/>
        <item h="1" x="10"/>
        <item x="13"/>
        <item h="1" x="15"/>
        <item x="16"/>
        <item h="1" x="19"/>
        <item x="21"/>
        <item x="22"/>
        <item h="1" x="23"/>
        <item h="1" x="25"/>
        <item x="26"/>
        <item h="1" x="27"/>
        <item h="1" x="28"/>
        <item h="1" x="29"/>
        <item h="1" x="31"/>
        <item h="1" x="34"/>
        <item x="35"/>
        <item x="38"/>
        <item h="1" x="39"/>
        <item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x="14"/>
        <item h="1" x="18"/>
        <item h="1" x="20"/>
        <item h="1" x="30"/>
        <item h="1" x="45"/>
        <item h="1" x="3"/>
        <item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1"/>
    </i>
    <i>
      <x v="7"/>
    </i>
    <i>
      <x v="11"/>
    </i>
    <i>
      <x v="12"/>
    </i>
    <i>
      <x v="15"/>
    </i>
    <i>
      <x v="22"/>
    </i>
    <i>
      <x v="24"/>
    </i>
    <i>
      <x v="26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51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5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5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6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5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5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63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4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ft.dk/samling/20131/almdel/miu/bilag/241/1345499.pdf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24" t="s">
        <v>268</v>
      </c>
      <c r="B1" s="424"/>
      <c r="D1" s="73" t="s">
        <v>281</v>
      </c>
    </row>
    <row r="2" spans="1:5" x14ac:dyDescent="0.25">
      <c r="A2" s="6" t="s">
        <v>0</v>
      </c>
      <c r="B2" s="199" t="s">
        <v>334</v>
      </c>
    </row>
    <row r="4" spans="1:5" ht="30" customHeight="1" thickBot="1" x14ac:dyDescent="0.3">
      <c r="A4" s="423" t="s">
        <v>267</v>
      </c>
      <c r="B4" s="423"/>
      <c r="D4" s="73"/>
    </row>
    <row r="5" spans="1:5" ht="15.75" thickTop="1" x14ac:dyDescent="0.25">
      <c r="A5" s="231" t="s">
        <v>85</v>
      </c>
      <c r="B5" s="230" t="s">
        <v>301</v>
      </c>
      <c r="D5" s="189" t="s">
        <v>43</v>
      </c>
      <c r="E5" s="190"/>
    </row>
    <row r="6" spans="1:5" x14ac:dyDescent="0.25">
      <c r="A6" s="184" t="s">
        <v>83</v>
      </c>
      <c r="B6" s="185" t="s">
        <v>255</v>
      </c>
      <c r="D6" s="191" t="s">
        <v>266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256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257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258</v>
      </c>
      <c r="D11" s="191" t="s">
        <v>32</v>
      </c>
      <c r="E11" s="192"/>
    </row>
    <row r="12" spans="1:5" x14ac:dyDescent="0.25">
      <c r="A12" s="184" t="s">
        <v>252</v>
      </c>
      <c r="B12" s="185" t="s">
        <v>259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260</v>
      </c>
      <c r="D14" s="191" t="s">
        <v>33</v>
      </c>
      <c r="E14" s="192"/>
    </row>
    <row r="15" spans="1:5" x14ac:dyDescent="0.25">
      <c r="A15" s="184" t="s">
        <v>70</v>
      </c>
      <c r="B15" s="185" t="s">
        <v>261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265</v>
      </c>
      <c r="D17" s="193" t="s">
        <v>348</v>
      </c>
      <c r="E17" s="192"/>
    </row>
    <row r="18" spans="1:5" x14ac:dyDescent="0.25">
      <c r="A18" s="184" t="s">
        <v>73</v>
      </c>
      <c r="B18" s="425" t="s">
        <v>269</v>
      </c>
      <c r="D18" s="191">
        <v>2019</v>
      </c>
      <c r="E18" s="192"/>
    </row>
    <row r="19" spans="1:5" x14ac:dyDescent="0.25">
      <c r="A19" s="184" t="s">
        <v>253</v>
      </c>
      <c r="B19" s="425"/>
      <c r="D19" s="191">
        <v>2030</v>
      </c>
      <c r="E19" s="192"/>
    </row>
    <row r="20" spans="1:5" ht="15.75" thickBot="1" x14ac:dyDescent="0.3">
      <c r="A20" s="184" t="s">
        <v>254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302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0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295</v>
      </c>
      <c r="B1" s="228"/>
      <c r="C1" s="426" t="s">
        <v>294</v>
      </c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  <c r="R1" s="426"/>
    </row>
    <row r="2" spans="1:18" ht="15" customHeight="1" x14ac:dyDescent="0.25">
      <c r="A2" s="228"/>
      <c r="B2" s="228"/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</row>
    <row r="3" spans="1:18" x14ac:dyDescent="0.25">
      <c r="A3" s="73"/>
    </row>
    <row r="34" spans="16:20" ht="15.75" x14ac:dyDescent="0.25">
      <c r="P34" s="316" t="s">
        <v>93</v>
      </c>
      <c r="Q34" s="316" t="s">
        <v>331</v>
      </c>
      <c r="R34" s="316" t="s">
        <v>332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15057851.655114504</v>
      </c>
      <c r="R36" s="317">
        <f>1-Q36/$Q$35</f>
        <v>0.24710741724427487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8945385.1499703117</v>
      </c>
      <c r="R37" s="317">
        <f>1-Q37/$Q$35</f>
        <v>0.55273074250148446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116232.40411250692</v>
      </c>
      <c r="R38" s="317">
        <f>1-Q38/$Q$35</f>
        <v>0.99418837979437469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333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260</v>
      </c>
    </row>
    <row r="12" spans="1:1" x14ac:dyDescent="0.25">
      <c r="A12" s="349" t="s">
        <v>110</v>
      </c>
    </row>
    <row r="13" spans="1:1" x14ac:dyDescent="0.25">
      <c r="A13" s="327" t="s">
        <v>229</v>
      </c>
    </row>
    <row r="14" spans="1:1" x14ac:dyDescent="0.25">
      <c r="A14" s="350" t="s">
        <v>207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203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223</v>
      </c>
    </row>
    <row r="26" spans="1:1" x14ac:dyDescent="0.25">
      <c r="A26" s="330" t="s">
        <v>202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226</v>
      </c>
    </row>
    <row r="30" spans="1:1" x14ac:dyDescent="0.25">
      <c r="A30" s="331" t="s">
        <v>199</v>
      </c>
    </row>
    <row r="31" spans="1:1" x14ac:dyDescent="0.25">
      <c r="A31" s="324" t="s">
        <v>225</v>
      </c>
    </row>
    <row r="32" spans="1:1" x14ac:dyDescent="0.25">
      <c r="A32" s="382" t="s">
        <v>162</v>
      </c>
    </row>
    <row r="33" spans="1:1" x14ac:dyDescent="0.25">
      <c r="A33" s="333" t="s">
        <v>192</v>
      </c>
    </row>
    <row r="34" spans="1:1" x14ac:dyDescent="0.25">
      <c r="A34" s="328" t="s">
        <v>221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193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305</v>
      </c>
    </row>
    <row r="55" spans="1:1" x14ac:dyDescent="0.25">
      <c r="A55" s="356" t="s">
        <v>306</v>
      </c>
    </row>
    <row r="56" spans="1:1" x14ac:dyDescent="0.25">
      <c r="A56" s="336" t="s">
        <v>309</v>
      </c>
    </row>
    <row r="57" spans="1:1" x14ac:dyDescent="0.25">
      <c r="A57" s="321" t="s">
        <v>311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237</v>
      </c>
    </row>
    <row r="61" spans="1:1" x14ac:dyDescent="0.25">
      <c r="A61" s="361" t="s">
        <v>230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330</v>
      </c>
    </row>
    <row r="78" spans="1:8" x14ac:dyDescent="0.25">
      <c r="A78" s="323" t="s">
        <v>224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P6" sqref="P6:R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270</v>
      </c>
      <c r="B1" s="73" t="s">
        <v>296</v>
      </c>
    </row>
    <row r="2" spans="1:22" ht="42.95" customHeight="1" x14ac:dyDescent="0.25">
      <c r="A2" s="200" t="s">
        <v>280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303</v>
      </c>
      <c r="K2" s="6"/>
      <c r="L2" s="6"/>
      <c r="M2" s="6"/>
      <c r="N2" s="6"/>
      <c r="O2" s="6"/>
      <c r="P2" s="6"/>
    </row>
    <row r="3" spans="1:22" x14ac:dyDescent="0.25">
      <c r="A3" s="2" t="s">
        <v>263</v>
      </c>
      <c r="B3" s="2"/>
      <c r="C3" s="9">
        <f>D3/($D$2-2023)*($C$2-2023)</f>
        <v>18254.133333333335</v>
      </c>
      <c r="D3" s="9">
        <f>90%*L6</f>
        <v>70408.800000000003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264</v>
      </c>
      <c r="B4" s="2"/>
      <c r="C4" s="9">
        <f>D4/($D$2-2023)*($C$2-2023)</f>
        <v>23450.466666666667</v>
      </c>
      <c r="D4" s="21">
        <f>90%*K6</f>
        <v>90451.8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266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358</v>
      </c>
      <c r="B6" s="2" t="s">
        <v>387</v>
      </c>
      <c r="C6" s="9">
        <f>D6/($D$2-2023)*($C$2-2023)</f>
        <v>51851.851851851854</v>
      </c>
      <c r="D6" s="9">
        <v>200000</v>
      </c>
      <c r="E6" s="9" t="s">
        <v>266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77051.533333333326</v>
      </c>
      <c r="O6" s="17">
        <f t="shared" si="2"/>
        <v>59977.866666666654</v>
      </c>
      <c r="P6" s="17">
        <f t="shared" si="2"/>
        <v>1949936</v>
      </c>
      <c r="Q6" s="17">
        <f t="shared" si="2"/>
        <v>10050.200000000001</v>
      </c>
      <c r="R6" s="17">
        <f t="shared" si="2"/>
        <v>7823.1999999999971</v>
      </c>
      <c r="T6" s="14">
        <f>SUMIFS($J6:$R6,$J$3:$R$3,T$3)/4293300</f>
        <v>0.60062655765960915</v>
      </c>
      <c r="U6" s="14">
        <f t="shared" si="1"/>
        <v>0.54972015655746109</v>
      </c>
      <c r="V6" s="14">
        <f t="shared" si="1"/>
        <v>0.45834425733119044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84948.466666666674</v>
      </c>
      <c r="O8" s="17">
        <f t="shared" si="4"/>
        <v>69022.133333333331</v>
      </c>
      <c r="P8" s="17">
        <f t="shared" si="4"/>
        <v>593324.00000000012</v>
      </c>
      <c r="Q8" s="17">
        <f t="shared" si="4"/>
        <v>151949.79999999999</v>
      </c>
      <c r="R8" s="17">
        <f t="shared" si="4"/>
        <v>121176.8</v>
      </c>
      <c r="T8" s="14">
        <f>SUMIFS($J8:$R8,$J$3:$R$3,T$3)/4293300</f>
        <v>0.11776256026832507</v>
      </c>
      <c r="U8" s="14">
        <f t="shared" si="1"/>
        <v>0.13955382848900658</v>
      </c>
      <c r="V8" s="14">
        <f t="shared" si="1"/>
        <v>0.20181459483381084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128999.99999999999</v>
      </c>
      <c r="P10" s="20">
        <f t="shared" si="6"/>
        <v>4014430</v>
      </c>
      <c r="Q10" s="20">
        <f t="shared" si="6"/>
        <v>162000</v>
      </c>
      <c r="R10" s="20">
        <f t="shared" si="6"/>
        <v>129000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297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66892.145975308638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52069.673876543202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8725.0625185185199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6791.6965925925906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73747.854024691362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59921.4372345679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131914.93748148147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105199.41451851852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111991.11111111111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298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10159.387358024691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7908.1927901234558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1325.1374814814808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1031.5034074074065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11200.612641975309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9100.6960987654329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20034.862518518519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15977.385481481482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2" zoomScale="90" zoomScaleNormal="90" workbookViewId="0">
      <selection activeCell="B32" sqref="B32:B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270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 t="shared" ref="D5:D8" si="0">C5</f>
        <v>0.11336632437979943</v>
      </c>
      <c r="E5" s="8">
        <v>1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si="0"/>
        <v>3.9915791472992256E-2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0.15042455841097682</v>
      </c>
      <c r="E7" s="8"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v>1</v>
      </c>
    </row>
    <row r="9" spans="1:9" x14ac:dyDescent="0.25">
      <c r="B9" s="79"/>
      <c r="C9" s="12"/>
      <c r="D9" s="12"/>
      <c r="E9" s="78"/>
      <c r="H9" s="1" t="s">
        <v>351</v>
      </c>
      <c r="I9" s="1" t="s">
        <v>354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352</v>
      </c>
      <c r="H10" s="412">
        <v>1</v>
      </c>
      <c r="I10" s="13">
        <f>(I12-I11)/I12</f>
        <v>0.89186769363522433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0.6806451612903226</v>
      </c>
      <c r="E11" s="3">
        <v>0.1</v>
      </c>
      <c r="G11" s="1" t="s">
        <v>353</v>
      </c>
      <c r="H11" s="98">
        <f>[1]Dyrehold!$M$14*(1-H10)</f>
        <v>0</v>
      </c>
      <c r="I11" s="421">
        <v>100000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0.66895310313586476</v>
      </c>
      <c r="E12" s="3">
        <f>([1]Dyrehold!$M$14*(1-H10)+[1]Dyrehold!$M$15*(1-I10))/SUM([1]Dyrehold!$M$14:$M$15)</f>
        <v>6.7049654291982466E-2</v>
      </c>
      <c r="G12" s="1" t="s">
        <v>355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0.7870967741935484</v>
      </c>
      <c r="E13" s="3">
        <v>0.4</v>
      </c>
      <c r="G13" s="1" t="s">
        <v>356</v>
      </c>
      <c r="H13" s="14">
        <f>H11/SUM($H11:$I11)</f>
        <v>0</v>
      </c>
      <c r="I13" s="14">
        <f>I11/SUM($H11:$I11)</f>
        <v>1</v>
      </c>
    </row>
    <row r="14" spans="1:9" x14ac:dyDescent="0.25">
      <c r="C14" s="287"/>
      <c r="D14" s="12"/>
      <c r="E14" s="12"/>
      <c r="G14" s="1" t="s">
        <v>357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29" t="s">
        <v>321</v>
      </c>
      <c r="C20" s="24"/>
      <c r="D20" s="24"/>
      <c r="E20" s="24"/>
    </row>
    <row r="21" spans="2:8" ht="29.45" customHeight="1" x14ac:dyDescent="0.25">
      <c r="B21" s="429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10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10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20619.257619625121</v>
      </c>
      <c r="E24" s="10">
        <f>E22*Arealanvendelse!Q6-C22*Arealanvendelse!Q6</f>
        <v>7579.4109036566661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14062.493218614971</v>
      </c>
      <c r="E25" s="10">
        <f>E23*Arealanvendelse!R6-C23*Arealanvendelse!R6</f>
        <v>5169.2168748268468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770.51533333333327</v>
      </c>
      <c r="E26" s="10">
        <f>1%*Arealanvendelse!Q6</f>
        <v>100.50200000000001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599.7786666666666</v>
      </c>
      <c r="E27" s="109">
        <f>1%*Arealanvendelse!R6</f>
        <v>78.231999999999971</v>
      </c>
      <c r="F27" s="4"/>
    </row>
    <row r="28" spans="2:8" ht="15.75" thickBot="1" x14ac:dyDescent="0.3">
      <c r="B28" s="209" t="s">
        <v>262</v>
      </c>
      <c r="C28" s="210"/>
      <c r="D28" s="208">
        <f>SUM(D24:D25)</f>
        <v>34681.750838240092</v>
      </c>
      <c r="E28" s="208">
        <f>SUM(E24:E25)</f>
        <v>12748.627778483513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27" t="s">
        <v>320</v>
      </c>
      <c r="C30" s="24"/>
      <c r="D30" s="24"/>
      <c r="E30" s="24"/>
    </row>
    <row r="31" spans="2:8" x14ac:dyDescent="0.25">
      <c r="B31" s="428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10">
        <f>C32-(C32-E32)/($E$10-$C$10)*($D$10-$C$10)</f>
        <v>0.36715654240787016</v>
      </c>
      <c r="E32" s="87">
        <f>(100%-SUM($E$33:$E$38,$E$40,$E$43:$E$44))*C32/SUM($C$32,$C$39,$C$41:$C$42,$C$45)</f>
        <v>5.7380541592218878E-2</v>
      </c>
      <c r="F32" s="414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10">
        <f t="shared" ref="D33:D45" si="1">C33-(C33-E33)/($E$10-$C$10)*($D$10-$C$10)</f>
        <v>8.0307273438663729E-2</v>
      </c>
      <c r="E33" s="411">
        <v>0.17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10">
        <f t="shared" si="1"/>
        <v>9.5373992635795268E-2</v>
      </c>
      <c r="E34" s="411">
        <v>0.15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10">
        <f t="shared" si="1"/>
        <v>0.1894578543396287</v>
      </c>
      <c r="E35" s="411">
        <v>0.35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10">
        <f t="shared" si="1"/>
        <v>7.912150200034742E-3</v>
      </c>
      <c r="E36" s="411">
        <f>10%*C36/SUM($C$36:$C$38)</f>
        <v>1.2832265911155143E-2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10">
        <f t="shared" si="1"/>
        <v>3.3279238840748362E-2</v>
      </c>
      <c r="E37" s="411">
        <f t="shared" ref="E37:E38" si="2">10%*C37/SUM($C$36:$C$38)</f>
        <v>5.3973702638184289E-2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10">
        <f t="shared" si="1"/>
        <v>2.0466857872232284E-2</v>
      </c>
      <c r="E38" s="411">
        <f t="shared" si="2"/>
        <v>3.3194031450660584E-2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10">
        <f t="shared" si="1"/>
        <v>4.9697472179061938E-2</v>
      </c>
      <c r="E39" s="87">
        <f>(100%-SUM($E$33:$E$38,$E$40,$E$43:$E$44))*C39/SUM($C$32,$C$39,$C$41:$C$42,$C$45)</f>
        <v>7.7668992378485732E-3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10">
        <f t="shared" si="1"/>
        <v>3.3066288339252348E-2</v>
      </c>
      <c r="E40" s="411">
        <f>10%-E43-E44+5%</f>
        <v>8.9495555545625521E-2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10">
        <f t="shared" si="1"/>
        <v>1.9103708429782654E-2</v>
      </c>
      <c r="E41" s="87">
        <f>(100%-SUM($E$33:$E$38,$E$40,$E$43:$E$44))*C41/SUM($C$32,$C$39,$C$41:$C$42,$C$45)</f>
        <v>2.9855960864317937E-3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10">
        <f t="shared" si="1"/>
        <v>2.7591593263813649E-2</v>
      </c>
      <c r="E42" s="87">
        <f>(100%-SUM($E$33:$E$38,$E$40,$E$43:$E$44))*C42/SUM($C$32,$C$39,$C$41:$C$42,$C$45)</f>
        <v>4.3121131779018202E-3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10">
        <f t="shared" si="1"/>
        <v>7.5869349743828522E-3</v>
      </c>
      <c r="E43" s="411"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10">
        <f t="shared" si="1"/>
        <v>2.0659444963862589E-2</v>
      </c>
      <c r="E44" s="411">
        <f>0.291750947999162%+5%</f>
        <v>5.2917509479991624E-2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10">
        <f t="shared" si="1"/>
        <v>4.8340648114870752E-2</v>
      </c>
      <c r="E45" s="87">
        <f>(100%-SUM($E$33:$E$38,$E$40,$E$43:$E$44))*C45/SUM($C$32,$C$39,$C$41:$C$42,$C$45)</f>
        <v>7.5548499055990139E-3</v>
      </c>
    </row>
    <row r="46" spans="2:5" x14ac:dyDescent="0.25">
      <c r="B46" s="24" t="s">
        <v>287</v>
      </c>
      <c r="C46" s="84"/>
      <c r="D46" s="86">
        <f>SUM(D32:D45)</f>
        <v>1.0000000000000002</v>
      </c>
      <c r="E46" s="86">
        <f>SUM(E32:E45)</f>
        <v>1</v>
      </c>
    </row>
    <row r="47" spans="2:5" x14ac:dyDescent="0.25">
      <c r="B47" s="24" t="s">
        <v>241</v>
      </c>
      <c r="C47" s="84"/>
      <c r="D47" s="108" cm="1">
        <f t="array" ref="D47">SUMPRODUCT((D32:D45&gt;$C$32:$C$45)*(D32:D45-$C$32:$C$45))*Arealanvendelse!M6</f>
        <v>528070.2534754239</v>
      </c>
      <c r="E47" s="108" cm="1">
        <f t="array" ref="E47">SUMPRODUCT((E32:E45&gt;$C$32:$C$45)*(E32:E45-$C$32:$C$45))*Arealanvendelse!P6</f>
        <v>1305344.573900626</v>
      </c>
    </row>
    <row r="48" spans="2:5" x14ac:dyDescent="0.25">
      <c r="B48" s="24" t="s">
        <v>240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359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602617.7524631659</v>
      </c>
      <c r="E55" s="1">
        <f>(E35+E45)*Arealanvendelse!P6+E22*Arealanvendelse!Q6+E23*Arealanvendelse!R6</f>
        <v>715082.47380552394</v>
      </c>
    </row>
    <row r="56" spans="2:8" x14ac:dyDescent="0.25">
      <c r="B56" s="1" t="s">
        <v>360</v>
      </c>
      <c r="C56" s="392">
        <f>C35+C43+C44+C45</f>
        <v>0.18243695581076916</v>
      </c>
      <c r="D56" s="392">
        <f>D35+D43+D44+D45</f>
        <v>0.26604488239274487</v>
      </c>
      <c r="E56" s="392">
        <f>E35+E43+E44+E45</f>
        <v>0.41805929435997347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L31"/>
  <sheetViews>
    <sheetView workbookViewId="0">
      <selection activeCell="G11" sqref="G11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hidden="1" customWidth="1"/>
    <col min="8" max="8" width="27" customWidth="1"/>
    <col min="13" max="13" width="26" bestFit="1" customWidth="1"/>
  </cols>
  <sheetData>
    <row r="2" spans="2:12" x14ac:dyDescent="0.25">
      <c r="B2" s="85" t="s">
        <v>362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I2" s="102"/>
      <c r="J2" s="102" t="s">
        <v>376</v>
      </c>
      <c r="K2" s="102">
        <v>2050</v>
      </c>
    </row>
    <row r="3" spans="2:12" x14ac:dyDescent="0.25">
      <c r="B3" s="102" t="s">
        <v>22</v>
      </c>
      <c r="C3" s="2" t="s">
        <v>345</v>
      </c>
      <c r="D3" s="2" t="str">
        <f>B3&amp;C3</f>
        <v>SvinSlagtesvin</v>
      </c>
      <c r="E3" s="7">
        <v>1</v>
      </c>
      <c r="F3" s="3">
        <f>E3-(E3-G3)/($G$2-$E$2)*($F$2-$E$2)</f>
        <v>1</v>
      </c>
      <c r="G3" s="3">
        <v>1</v>
      </c>
      <c r="I3" s="102" t="s">
        <v>381</v>
      </c>
      <c r="J3" s="102" t="s">
        <v>30</v>
      </c>
      <c r="K3" s="84">
        <f>1-L10*K10</f>
        <v>0.79064908335660733</v>
      </c>
      <c r="L3" s="415"/>
    </row>
    <row r="4" spans="2:12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</v>
      </c>
      <c r="G4" s="3">
        <f>(G3-100%)*50%+100%</f>
        <v>1</v>
      </c>
      <c r="I4" s="102" t="s">
        <v>22</v>
      </c>
      <c r="J4" s="102" t="s">
        <v>30</v>
      </c>
      <c r="K4" s="84">
        <f>1-K11*L11-K12*L12</f>
        <v>1</v>
      </c>
      <c r="L4" s="415"/>
    </row>
    <row r="5" spans="2:12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</v>
      </c>
      <c r="G5" s="3">
        <f>G4</f>
        <v>1</v>
      </c>
      <c r="I5" s="102" t="s">
        <v>3</v>
      </c>
      <c r="J5" s="102" t="s">
        <v>30</v>
      </c>
      <c r="K5" s="84">
        <f>1-K13*L13-K14*L14</f>
        <v>1</v>
      </c>
      <c r="L5" s="415"/>
    </row>
    <row r="6" spans="2:12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1</v>
      </c>
      <c r="G6" s="3">
        <f>$K$4</f>
        <v>1</v>
      </c>
      <c r="I6" s="102" t="s">
        <v>4</v>
      </c>
      <c r="J6" s="102" t="s">
        <v>30</v>
      </c>
      <c r="K6" s="84">
        <f>1-K15*L15-K16*L16</f>
        <v>1</v>
      </c>
      <c r="L6" s="415"/>
    </row>
    <row r="7" spans="2:12" x14ac:dyDescent="0.25">
      <c r="B7" s="102" t="s">
        <v>3</v>
      </c>
      <c r="C7" s="2" t="s">
        <v>347</v>
      </c>
      <c r="D7" s="2" t="str">
        <f t="shared" si="0"/>
        <v>KøerSlagtekøer</v>
      </c>
      <c r="E7" s="7">
        <v>1</v>
      </c>
      <c r="F7" s="3">
        <f t="shared" si="1"/>
        <v>1.2174167101317843</v>
      </c>
      <c r="G7" s="3">
        <f>100%*Landbrug!I13/Landbrug!I14</f>
        <v>1.6127198194623011</v>
      </c>
      <c r="L7" s="415"/>
    </row>
    <row r="8" spans="2:12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0.69151599679691178</v>
      </c>
      <c r="G8" s="3">
        <f>((G7-100%)*50%+100%)*10%</f>
        <v>0.13063599097311504</v>
      </c>
      <c r="L8" s="415"/>
    </row>
    <row r="9" spans="2:12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0.64516129032258063</v>
      </c>
      <c r="G9" s="3">
        <f>150%*Landbrug!H13/Landbrug!H14</f>
        <v>0</v>
      </c>
      <c r="I9" s="102"/>
      <c r="J9" s="102"/>
      <c r="K9" s="102" t="s">
        <v>379</v>
      </c>
      <c r="L9" s="102" t="s">
        <v>389</v>
      </c>
    </row>
    <row r="10" spans="2:12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0.69151599679691178</v>
      </c>
      <c r="G10" s="3">
        <f>G8</f>
        <v>0.13063599097311504</v>
      </c>
      <c r="I10" s="102" t="s">
        <v>193</v>
      </c>
      <c r="J10" s="102" t="s">
        <v>380</v>
      </c>
      <c r="K10" s="7">
        <f>0.68/[1]Afgrødedata!$J$5</f>
        <v>0.29907273806198947</v>
      </c>
      <c r="L10" s="3">
        <v>0.7</v>
      </c>
    </row>
    <row r="11" spans="2:12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1</v>
      </c>
      <c r="G11" s="3">
        <f>$K$5</f>
        <v>1</v>
      </c>
      <c r="I11" s="416" t="s">
        <v>22</v>
      </c>
      <c r="J11" s="102" t="s">
        <v>378</v>
      </c>
      <c r="K11" s="84">
        <v>0.85</v>
      </c>
      <c r="L11" s="3">
        <v>0</v>
      </c>
    </row>
    <row r="12" spans="2:12" x14ac:dyDescent="0.25">
      <c r="B12" s="102" t="s">
        <v>4</v>
      </c>
      <c r="C12" s="2" t="s">
        <v>346</v>
      </c>
      <c r="D12" s="2" t="str">
        <f t="shared" si="0"/>
        <v>FjerkræSlagtefjerkræ</v>
      </c>
      <c r="E12" s="7">
        <v>1</v>
      </c>
      <c r="F12" s="3">
        <f t="shared" si="1"/>
        <v>1</v>
      </c>
      <c r="G12" s="3">
        <v>1</v>
      </c>
      <c r="I12" s="102" t="s">
        <v>22</v>
      </c>
      <c r="J12" s="102" t="s">
        <v>377</v>
      </c>
      <c r="K12" s="84">
        <v>0.15</v>
      </c>
      <c r="L12" s="3">
        <v>0</v>
      </c>
    </row>
    <row r="13" spans="2:12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</v>
      </c>
      <c r="G13" s="3">
        <f>G14</f>
        <v>1</v>
      </c>
      <c r="I13" s="102" t="s">
        <v>3</v>
      </c>
      <c r="J13" s="102" t="s">
        <v>378</v>
      </c>
      <c r="K13" s="84">
        <v>0.25</v>
      </c>
      <c r="L13" s="3">
        <v>0</v>
      </c>
    </row>
    <row r="14" spans="2:12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</v>
      </c>
      <c r="G14" s="3">
        <f>(G12-100%)*50%+100%</f>
        <v>1</v>
      </c>
      <c r="I14" s="102" t="s">
        <v>3</v>
      </c>
      <c r="J14" s="102" t="s">
        <v>377</v>
      </c>
      <c r="K14" s="84">
        <v>0.75</v>
      </c>
      <c r="L14" s="3">
        <v>0</v>
      </c>
    </row>
    <row r="15" spans="2:12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1</v>
      </c>
      <c r="G15" s="3">
        <f>$K$6</f>
        <v>1</v>
      </c>
      <c r="I15" s="102" t="s">
        <v>4</v>
      </c>
      <c r="J15" s="102" t="s">
        <v>378</v>
      </c>
      <c r="K15" s="84">
        <v>0.1</v>
      </c>
      <c r="L15" s="3">
        <v>0</v>
      </c>
    </row>
    <row r="16" spans="2:12" x14ac:dyDescent="0.25">
      <c r="B16" s="102" t="s">
        <v>361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1.1419354838709677</v>
      </c>
      <c r="G16" s="3">
        <v>1.4</v>
      </c>
      <c r="H16" s="430" t="s">
        <v>388</v>
      </c>
      <c r="I16" s="102" t="s">
        <v>4</v>
      </c>
      <c r="J16" s="102" t="s">
        <v>377</v>
      </c>
      <c r="K16" s="84">
        <v>0.9</v>
      </c>
      <c r="L16" s="3">
        <v>0</v>
      </c>
    </row>
    <row r="17" spans="2:8" x14ac:dyDescent="0.25">
      <c r="B17" s="102" t="s">
        <v>361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1.1419354838709677</v>
      </c>
      <c r="G17" s="3">
        <v>1.4</v>
      </c>
      <c r="H17" s="430"/>
    </row>
    <row r="18" spans="2:8" x14ac:dyDescent="0.25">
      <c r="B18" s="102" t="s">
        <v>363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3">
        <f t="shared" ref="G18:G31" si="2">$K$3</f>
        <v>0.79064908335660733</v>
      </c>
    </row>
    <row r="19" spans="2:8" x14ac:dyDescent="0.25">
      <c r="B19" s="102" t="s">
        <v>364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3">
        <f t="shared" si="2"/>
        <v>0.79064908335660733</v>
      </c>
    </row>
    <row r="20" spans="2:8" x14ac:dyDescent="0.25">
      <c r="B20" s="102" t="s">
        <v>365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3">
        <f t="shared" si="2"/>
        <v>0.79064908335660733</v>
      </c>
    </row>
    <row r="21" spans="2:8" x14ac:dyDescent="0.25">
      <c r="B21" s="102" t="s">
        <v>361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3">
        <f t="shared" si="2"/>
        <v>0.79064908335660733</v>
      </c>
    </row>
    <row r="22" spans="2:8" x14ac:dyDescent="0.25">
      <c r="B22" s="102" t="s">
        <v>366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3">
        <f t="shared" si="2"/>
        <v>0.79064908335660733</v>
      </c>
    </row>
    <row r="23" spans="2:8" x14ac:dyDescent="0.25">
      <c r="B23" s="102" t="s">
        <v>367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3">
        <f t="shared" si="2"/>
        <v>0.79064908335660733</v>
      </c>
    </row>
    <row r="24" spans="2:8" x14ac:dyDescent="0.25">
      <c r="B24" s="102" t="s">
        <v>368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3">
        <f t="shared" si="2"/>
        <v>0.79064908335660733</v>
      </c>
    </row>
    <row r="25" spans="2:8" x14ac:dyDescent="0.25">
      <c r="B25" s="102" t="s">
        <v>369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3">
        <f t="shared" si="2"/>
        <v>0.79064908335660733</v>
      </c>
    </row>
    <row r="26" spans="2:8" x14ac:dyDescent="0.25">
      <c r="B26" s="102" t="s">
        <v>370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3">
        <f t="shared" si="2"/>
        <v>0.79064908335660733</v>
      </c>
    </row>
    <row r="27" spans="2:8" x14ac:dyDescent="0.25">
      <c r="B27" s="102" t="s">
        <v>371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3">
        <f t="shared" si="2"/>
        <v>0.79064908335660733</v>
      </c>
    </row>
    <row r="28" spans="2:8" x14ac:dyDescent="0.25">
      <c r="B28" s="102" t="s">
        <v>372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3">
        <f t="shared" si="2"/>
        <v>0.79064908335660733</v>
      </c>
    </row>
    <row r="29" spans="2:8" x14ac:dyDescent="0.25">
      <c r="B29" s="102" t="s">
        <v>373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3">
        <f t="shared" si="2"/>
        <v>0.79064908335660733</v>
      </c>
    </row>
    <row r="30" spans="2:8" x14ac:dyDescent="0.25">
      <c r="B30" s="102" t="s">
        <v>374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3">
        <f t="shared" si="2"/>
        <v>0.79064908335660733</v>
      </c>
    </row>
    <row r="31" spans="2:8" x14ac:dyDescent="0.25">
      <c r="B31" s="102" t="s">
        <v>375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3">
        <f t="shared" si="2"/>
        <v>0.79064908335660733</v>
      </c>
    </row>
  </sheetData>
  <mergeCells count="1">
    <mergeCell ref="H16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653-CB5A-40C0-B152-DED5D2034A63}">
  <sheetPr>
    <tabColor theme="9" tint="0.39997558519241921"/>
  </sheetPr>
  <dimension ref="B2:L8"/>
  <sheetViews>
    <sheetView workbookViewId="0">
      <selection activeCell="E7" sqref="E6:E7"/>
    </sheetView>
  </sheetViews>
  <sheetFormatPr defaultRowHeight="15" x14ac:dyDescent="0.25"/>
  <cols>
    <col min="1" max="1" width="4.85546875" customWidth="1"/>
    <col min="2" max="2" width="49.42578125" bestFit="1" customWidth="1"/>
    <col min="12" max="12" width="20.42578125" bestFit="1" customWidth="1"/>
  </cols>
  <sheetData>
    <row r="2" spans="2:12" x14ac:dyDescent="0.25">
      <c r="B2" s="102"/>
      <c r="C2" s="102">
        <v>2019</v>
      </c>
      <c r="D2" s="102">
        <v>2030</v>
      </c>
      <c r="E2" s="102">
        <v>2050</v>
      </c>
    </row>
    <row r="3" spans="2:12" x14ac:dyDescent="0.25">
      <c r="B3" s="102" t="s">
        <v>390</v>
      </c>
      <c r="C3" s="3">
        <v>0.18</v>
      </c>
      <c r="D3" s="410">
        <f>C3-(C3-E3)/($E$2-$C$2)*($D$2-$C$2)</f>
        <v>0.18709677419354839</v>
      </c>
      <c r="E3" s="3">
        <v>0.2</v>
      </c>
    </row>
    <row r="4" spans="2:12" x14ac:dyDescent="0.25">
      <c r="B4" s="102" t="s">
        <v>391</v>
      </c>
      <c r="C4" s="3">
        <v>0.4</v>
      </c>
      <c r="D4" s="410">
        <f>C4-(C4-E4)/($E$2-$C$2)*($D$2-$C$2)</f>
        <v>0.52419354838709675</v>
      </c>
      <c r="E4" s="3">
        <v>0.75</v>
      </c>
    </row>
    <row r="5" spans="2:12" x14ac:dyDescent="0.25">
      <c r="B5" s="102" t="s">
        <v>394</v>
      </c>
      <c r="C5" s="3">
        <v>0</v>
      </c>
      <c r="D5" s="410">
        <f>C5-(C5-E5)/($E$2-$C$2)*($D$2-$C$2)</f>
        <v>0.25345622119815669</v>
      </c>
      <c r="E5" s="3">
        <f>25/35</f>
        <v>0.7142857142857143</v>
      </c>
      <c r="G5" t="s">
        <v>401</v>
      </c>
      <c r="L5" s="464"/>
    </row>
    <row r="6" spans="2:12" x14ac:dyDescent="0.25">
      <c r="B6" s="102" t="s">
        <v>392</v>
      </c>
      <c r="C6" s="3">
        <v>0</v>
      </c>
      <c r="D6" s="410">
        <f>C6-(C6-E6)/($E$2-$C$2)*($D$2-$C$2)</f>
        <v>0.17741935483870969</v>
      </c>
      <c r="E6" s="3">
        <v>0.5</v>
      </c>
      <c r="L6" s="464"/>
    </row>
    <row r="7" spans="2:12" x14ac:dyDescent="0.25">
      <c r="B7" s="102" t="s">
        <v>393</v>
      </c>
      <c r="C7" s="3">
        <v>0</v>
      </c>
      <c r="D7" s="410">
        <f>C7-(C7-E7)/($E$2-$C$2)*($D$2-$C$2)</f>
        <v>0.17741935483870969</v>
      </c>
      <c r="E7" s="3">
        <f>1-E6</f>
        <v>0.5</v>
      </c>
    </row>
    <row r="8" spans="2:12" x14ac:dyDescent="0.25">
      <c r="B8" s="465" t="s">
        <v>402</v>
      </c>
      <c r="C8" s="103">
        <f>0%</f>
        <v>0</v>
      </c>
      <c r="D8" s="86">
        <f>C8-(C8-E8)/($E$2-$C$2)*($D$2-$C$2)</f>
        <v>0.1971326164874552</v>
      </c>
      <c r="E8" s="7">
        <f>1-10%/(E6*25%+10%)</f>
        <v>0.55555555555555558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J43"/>
  <sheetViews>
    <sheetView zoomScale="85" zoomScaleNormal="85" workbookViewId="0">
      <selection activeCell="D15" sqref="D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4" width="14.5703125" style="1" bestFit="1" customWidth="1"/>
    <col min="5" max="5" width="15.85546875" style="1" bestFit="1" customWidth="1"/>
    <col min="6" max="6" width="21" style="1" bestFit="1" customWidth="1"/>
    <col min="7" max="16384" width="9.140625" style="1"/>
  </cols>
  <sheetData>
    <row r="1" spans="1:10" x14ac:dyDescent="0.25">
      <c r="A1" s="204" t="s">
        <v>270</v>
      </c>
    </row>
    <row r="2" spans="1:10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313</v>
      </c>
    </row>
    <row r="3" spans="1:10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12">
        <f>C3-(C3-E3)/($E$2-$C$2)*($D$2-$C$2)</f>
        <v>0.29351343558107984</v>
      </c>
      <c r="E3" s="413">
        <v>0.1</v>
      </c>
      <c r="I3" s="218"/>
      <c r="J3" s="420"/>
    </row>
    <row r="4" spans="1:10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  <c r="J4" s="420"/>
    </row>
    <row r="5" spans="1:10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7" si="1">C5</f>
        <v>0</v>
      </c>
      <c r="I5" s="218"/>
      <c r="J5" s="420"/>
    </row>
    <row r="6" spans="1:10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 t="shared" si="1"/>
        <v>5.2820478093045303E-3</v>
      </c>
      <c r="I6" s="218"/>
      <c r="J6" s="420"/>
    </row>
    <row r="7" spans="1:10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  <c r="J7" s="420"/>
    </row>
    <row r="8" spans="1:10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0.11318913138930091</v>
      </c>
      <c r="E8" s="413">
        <v>0.113</v>
      </c>
      <c r="I8" s="218"/>
      <c r="J8" s="420"/>
    </row>
    <row r="9" spans="1:10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1.6320173359517843E-2</v>
      </c>
      <c r="E9" s="413">
        <f>C9</f>
        <v>1.6320173359517843E-2</v>
      </c>
      <c r="I9" s="218"/>
      <c r="J9" s="420"/>
    </row>
    <row r="10" spans="1:10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ref="E7:E11" si="2">C10</f>
        <v>0</v>
      </c>
      <c r="I10" s="218"/>
      <c r="J10" s="420"/>
    </row>
    <row r="11" spans="1:10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2"/>
        <v>0</v>
      </c>
      <c r="I11" s="218"/>
      <c r="J11" s="420"/>
    </row>
    <row r="12" spans="1:10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413">
        <f>C12</f>
        <v>0.15385657208640888</v>
      </c>
      <c r="J12" s="420"/>
    </row>
    <row r="13" spans="1:10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7.1213713227182666E-3</v>
      </c>
      <c r="E13" s="413">
        <v>0</v>
      </c>
      <c r="J13" s="420"/>
    </row>
    <row r="14" spans="1:10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288">
        <f t="shared" si="0"/>
        <v>6.8483870967741944E-2</v>
      </c>
      <c r="E14" s="288">
        <v>0.193</v>
      </c>
      <c r="J14" s="420"/>
    </row>
    <row r="15" spans="1:10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0.13728651958910723</v>
      </c>
      <c r="E15" s="111">
        <f>E22*E23*[1]Foder!$C$14/E20</f>
        <v>0.38689837338748401</v>
      </c>
      <c r="J15" s="420"/>
    </row>
    <row r="16" spans="1:10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9.1896425552179337E-3</v>
      </c>
      <c r="E16" s="413">
        <v>1.0999999999999999E-2</v>
      </c>
      <c r="J16" s="420"/>
    </row>
    <row r="17" spans="1:10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413">
        <v>0</v>
      </c>
      <c r="F17" s="289"/>
      <c r="J17" s="420"/>
    </row>
    <row r="18" spans="1:10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314</v>
      </c>
    </row>
    <row r="20" spans="1:10" x14ac:dyDescent="0.25">
      <c r="A20" s="1" t="s">
        <v>395</v>
      </c>
      <c r="C20" s="163">
        <f>-SUM('Resultater - Danmark'!H99,'Resultater - Danmark'!H106,'Resultater - Danmark'!H114,'Resultater - Danmark'!H122,'Resultater - Danmark'!H130,'Resultater - Danmark'!H138)</f>
        <v>14852134263.120003</v>
      </c>
      <c r="D20" s="163">
        <f>-SUM('Resultater - Danmark'!I99,'Resultater - Danmark'!I106,'Resultater - Danmark'!I114,'Resultater - Danmark'!I122,'Resultater - Danmark'!I130,'Resultater - Danmark'!I138)</f>
        <v>9302992814.7977562</v>
      </c>
      <c r="E20" s="163">
        <f>-SUM('Resultater - Danmark'!J99,'Resultater - Danmark'!J106,'Resultater - Danmark'!J114,'Resultater - Danmark'!J122,'Resultater - Danmark'!J130,'Resultater - Danmark'!J138)</f>
        <v>1256801011.4127617</v>
      </c>
    </row>
    <row r="21" spans="1:10" x14ac:dyDescent="0.25">
      <c r="C21" s="389">
        <f t="shared" ref="C21:D21" si="3">C15*C20</f>
        <v>0</v>
      </c>
      <c r="D21" s="389">
        <f t="shared" si="3"/>
        <v>1277175505.306056</v>
      </c>
      <c r="E21" s="389">
        <f>E15*E20</f>
        <v>486254266.98734224</v>
      </c>
    </row>
    <row r="22" spans="1:10" x14ac:dyDescent="0.25">
      <c r="A22" s="1" t="s">
        <v>396</v>
      </c>
      <c r="B22" s="1" t="s">
        <v>398</v>
      </c>
      <c r="C22" s="392">
        <f>Græsprotein!C3*Græsprotein!C4*Græsprotein!C5*Græsprotein!C7</f>
        <v>0</v>
      </c>
      <c r="D22" s="392">
        <f>Græsprotein!D3*Græsprotein!D4*Græsprotein!D5*Græsprotein!D7</f>
        <v>4.4102369394647539E-3</v>
      </c>
      <c r="E22" s="392">
        <f>Græsprotein!E3*Græsprotein!E4*Græsprotein!E5*Græsprotein!E7</f>
        <v>5.3571428571428582E-2</v>
      </c>
    </row>
    <row r="23" spans="1:10" x14ac:dyDescent="0.25">
      <c r="A23" s="1" t="s">
        <v>399</v>
      </c>
      <c r="B23" s="1" t="s">
        <v>397</v>
      </c>
      <c r="C23" s="98">
        <f>SUMIFS('Produktion &amp; forbrug'!$G$4:$G$147,'Produktion &amp; forbrug'!$F$4:$F$147,Fodersammensætning!C2,'Produktion &amp; forbrug'!$A$4:$A$147,"Græs")</f>
        <v>17913006.538833313</v>
      </c>
      <c r="D23" s="98">
        <f>SUMIFS('Produktion &amp; forbrug'!$G$4:$G$147,'Produktion &amp; forbrug'!$F$4:$F$147,Fodersammensætning!D2,'Produktion &amp; forbrug'!$A$4:$A$147,"Græs")</f>
        <v>29802893.251747362</v>
      </c>
      <c r="E23" s="98">
        <f>SUMIFS('Produktion &amp; forbrug'!$G$4:$G$147,'Produktion &amp; forbrug'!$F$4:$F$147,Fodersammensætning!E2,'Produktion &amp; forbrug'!$A$4:$A$147,"Græs")</f>
        <v>45842153.116651788</v>
      </c>
    </row>
    <row r="24" spans="1:10" x14ac:dyDescent="0.25">
      <c r="A24" s="1" t="s">
        <v>400</v>
      </c>
      <c r="C24" s="14">
        <f>C22*C23*[1]Foder!$C$14/C20</f>
        <v>0</v>
      </c>
      <c r="D24" s="14">
        <f>D22*D23*[1]Foder!$C$14/D20</f>
        <v>2.7974533594733743E-3</v>
      </c>
      <c r="E24" s="14">
        <f>E22*E23*[1]Foder!$C$14/E20</f>
        <v>0.38689837338748401</v>
      </c>
    </row>
    <row r="27" spans="1:10" x14ac:dyDescent="0.25">
      <c r="C27" s="163"/>
      <c r="D27" s="163"/>
      <c r="E27" s="163"/>
    </row>
    <row r="28" spans="1:10" x14ac:dyDescent="0.25">
      <c r="C28" s="163"/>
      <c r="D28" s="163"/>
      <c r="E28" s="163"/>
    </row>
    <row r="29" spans="1:10" x14ac:dyDescent="0.25">
      <c r="C29" s="163"/>
      <c r="D29" s="163"/>
      <c r="E29" s="163"/>
    </row>
    <row r="30" spans="1:10" x14ac:dyDescent="0.25">
      <c r="E30" s="422"/>
    </row>
    <row r="31" spans="1:10" x14ac:dyDescent="0.25">
      <c r="E31" s="422"/>
    </row>
    <row r="32" spans="1:10" x14ac:dyDescent="0.25">
      <c r="E32" s="422"/>
    </row>
    <row r="33" spans="5:5" x14ac:dyDescent="0.25">
      <c r="E33" s="422"/>
    </row>
    <row r="34" spans="5:5" x14ac:dyDescent="0.25">
      <c r="E34" s="422"/>
    </row>
    <row r="35" spans="5:5" x14ac:dyDescent="0.25">
      <c r="E35" s="422"/>
    </row>
    <row r="36" spans="5:5" x14ac:dyDescent="0.25">
      <c r="E36" s="422"/>
    </row>
    <row r="37" spans="5:5" x14ac:dyDescent="0.25">
      <c r="E37" s="422"/>
    </row>
    <row r="38" spans="5:5" x14ac:dyDescent="0.25">
      <c r="E38" s="422"/>
    </row>
    <row r="39" spans="5:5" x14ac:dyDescent="0.25">
      <c r="E39" s="422"/>
    </row>
    <row r="40" spans="5:5" x14ac:dyDescent="0.25">
      <c r="E40" s="422"/>
    </row>
    <row r="41" spans="5:5" x14ac:dyDescent="0.25">
      <c r="E41" s="422"/>
    </row>
    <row r="42" spans="5:5" x14ac:dyDescent="0.25">
      <c r="E42" s="422"/>
    </row>
    <row r="43" spans="5:5" x14ac:dyDescent="0.25">
      <c r="E43" s="422"/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270</v>
      </c>
    </row>
    <row r="2" spans="1:4" x14ac:dyDescent="0.25">
      <c r="A2" t="s">
        <v>246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386</v>
      </c>
    </row>
    <row r="9" spans="1:4" x14ac:dyDescent="0.25">
      <c r="A9" s="2" t="s">
        <v>279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278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/>
      <c r="D13" s="8"/>
    </row>
    <row r="14" spans="1:4" x14ac:dyDescent="0.25">
      <c r="A14" s="2" t="s">
        <v>177</v>
      </c>
      <c r="B14" s="7">
        <v>0</v>
      </c>
      <c r="C14" s="8">
        <f>1-C17</f>
        <v>0.4</v>
      </c>
      <c r="D14" s="8">
        <f>1-D17</f>
        <v>0.4</v>
      </c>
    </row>
    <row r="15" spans="1:4" x14ac:dyDescent="0.25">
      <c r="A15" s="2" t="s">
        <v>178</v>
      </c>
      <c r="B15" s="7">
        <v>0</v>
      </c>
      <c r="C15" s="8"/>
      <c r="D15" s="8"/>
    </row>
    <row r="16" spans="1:4" x14ac:dyDescent="0.25">
      <c r="A16" s="2" t="s">
        <v>179</v>
      </c>
      <c r="B16" s="7">
        <v>0</v>
      </c>
      <c r="C16" s="8"/>
      <c r="D16" s="8"/>
    </row>
    <row r="17" spans="1:8" ht="15.75" thickBot="1" x14ac:dyDescent="0.3">
      <c r="A17" s="307" t="s">
        <v>180</v>
      </c>
      <c r="B17" s="308">
        <v>0</v>
      </c>
      <c r="C17" s="311">
        <f>D17</f>
        <v>0.6</v>
      </c>
      <c r="D17" s="311">
        <v>0.6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47934.184879022061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30466.135143758769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8472.4784537125106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5736.4434525475253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4808.9101566784193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29977.985977523316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852.71481743560128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5689.162797083688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46758.713289500229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8264.6423051714901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4657.3795800273956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825.84545123930332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71890.257069489599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44042.605081673908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12706.763572601465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8306.7590997186417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7224.3854840611129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44633.073350989973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1281.0263341207046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8479.5920026221902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71890.257069489599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12706.763572601465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7224.3854840611129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1281.0263341207046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31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32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0</v>
      </c>
      <c r="D50" s="103">
        <f t="shared" ca="1" si="0"/>
        <v>0</v>
      </c>
      <c r="E50" s="103">
        <f t="shared" ca="1" si="0"/>
        <v>0</v>
      </c>
      <c r="F50" s="103">
        <f t="shared" ca="1" si="0"/>
        <v>0</v>
      </c>
      <c r="G50" s="103">
        <f t="shared" ca="1" si="0"/>
        <v>0</v>
      </c>
      <c r="H50" s="103">
        <f t="shared" ca="1" si="1"/>
        <v>0</v>
      </c>
      <c r="I50" s="103">
        <f t="shared" ca="1" si="2"/>
        <v>0</v>
      </c>
      <c r="J50" s="103">
        <f t="shared" ca="1" si="2"/>
        <v>0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52743.095035700477</v>
      </c>
      <c r="D51" s="103">
        <f t="shared" ca="1" si="0"/>
        <v>111860.21399080972</v>
      </c>
      <c r="E51" s="103">
        <f t="shared" ca="1" si="0"/>
        <v>0</v>
      </c>
      <c r="F51" s="103">
        <f t="shared" ca="1" si="0"/>
        <v>9325.1932711481113</v>
      </c>
      <c r="G51" s="103">
        <f t="shared" ca="1" si="0"/>
        <v>20516.094006042007</v>
      </c>
      <c r="H51" s="103">
        <f t="shared" ca="1" si="1"/>
        <v>0</v>
      </c>
      <c r="I51" s="103">
        <f t="shared" ca="1" si="2"/>
        <v>62068.28830684859</v>
      </c>
      <c r="J51" s="103">
        <f t="shared" ca="1" si="2"/>
        <v>132376.30799685171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0</v>
      </c>
      <c r="D52" s="103">
        <f t="shared" ca="1" si="0"/>
        <v>0</v>
      </c>
      <c r="E52" s="103">
        <f t="shared" ca="1" si="0"/>
        <v>0</v>
      </c>
      <c r="F52" s="103">
        <f t="shared" ca="1" si="0"/>
        <v>0</v>
      </c>
      <c r="G52" s="103">
        <f t="shared" ca="1" si="0"/>
        <v>0</v>
      </c>
      <c r="H52" s="103">
        <f t="shared" ca="1" si="1"/>
        <v>0</v>
      </c>
      <c r="I52" s="103">
        <f t="shared" ca="1" si="2"/>
        <v>0</v>
      </c>
      <c r="J52" s="103">
        <f t="shared" ca="1" si="2"/>
        <v>0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0</v>
      </c>
      <c r="D53" s="103">
        <f t="shared" ca="1" si="0"/>
        <v>0</v>
      </c>
      <c r="E53" s="103">
        <f t="shared" ca="1" si="0"/>
        <v>0</v>
      </c>
      <c r="F53" s="103">
        <f t="shared" ca="1" si="0"/>
        <v>0</v>
      </c>
      <c r="G53" s="103">
        <f t="shared" ca="1" si="0"/>
        <v>0</v>
      </c>
      <c r="H53" s="103">
        <f t="shared" ca="1" si="1"/>
        <v>0</v>
      </c>
      <c r="I53" s="103">
        <f t="shared" ca="1" si="2"/>
        <v>0</v>
      </c>
      <c r="J53" s="103">
        <f t="shared" ca="1" si="2"/>
        <v>0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79114.642553550715</v>
      </c>
      <c r="D54" s="103">
        <f t="shared" ca="1" si="0"/>
        <v>167790.32098621459</v>
      </c>
      <c r="E54" s="103">
        <f t="shared" ca="1" si="0"/>
        <v>0</v>
      </c>
      <c r="F54" s="103">
        <f t="shared" ca="1" si="0"/>
        <v>13987.78990672217</v>
      </c>
      <c r="G54" s="103">
        <f t="shared" ca="1" si="0"/>
        <v>30774.141009063002</v>
      </c>
      <c r="H54" s="103">
        <f t="shared" ca="1" si="1"/>
        <v>0</v>
      </c>
      <c r="I54" s="103">
        <f t="shared" ca="1" si="2"/>
        <v>93102.432460272888</v>
      </c>
      <c r="J54" s="103">
        <f t="shared" ca="1" si="2"/>
        <v>198564.46199527758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327</v>
      </c>
      <c r="E1" t="s">
        <v>326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0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0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>
        <f ca="1">IF($C3-G$1&lt;År1,0,F2*(1-VLOOKUP($A3,[1]Hugst!$R$5:$W$9,MATCH(ROUNDUP((G$1)/10,0)*10,[1]Hugst!$R$4:$W$4,0))))</f>
        <v>0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0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>
        <f ca="1">IF($C4-G$1&lt;År1,0,F3*(1-VLOOKUP($A4,[1]Hugst!$R$5:$W$9,MATCH(ROUNDUP((G$1)/10,0)*10,[1]Hugst!$R$4:$W$4,0))))</f>
        <v>0</v>
      </c>
      <c r="H4">
        <f ca="1">IF($C4-H$1&lt;År1,0,G3*(1-VLOOKUP($A4,[1]Hugst!$R$5:$W$9,MATCH(ROUNDUP((H$1)/10,0)*10,[1]Hugst!$R$4:$W$4,0))))</f>
        <v>0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0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>
        <f ca="1">IF($C5-G$1&lt;År1,0,F4*(1-VLOOKUP($A5,[1]Hugst!$R$5:$W$9,MATCH(ROUNDUP((G$1)/10,0)*10,[1]Hugst!$R$4:$W$4,0))))</f>
        <v>0</v>
      </c>
      <c r="H5">
        <f ca="1">IF($C5-H$1&lt;År1,0,G4*(1-VLOOKUP($A5,[1]Hugst!$R$5:$W$9,MATCH(ROUNDUP((H$1)/10,0)*10,[1]Hugst!$R$4:$W$4,0))))</f>
        <v>0</v>
      </c>
      <c r="I5">
        <f ca="1">IF($C5-I$1&lt;År1,0,H4*(1-VLOOKUP($A5,[1]Hugst!$R$5:$W$9,MATCH(ROUNDUP((I$1)/10,0)*10,[1]Hugst!$R$4:$W$4,0))))</f>
        <v>0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0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>
        <f ca="1">IF($C6-G$1&lt;År1,0,F5*(1-VLOOKUP($A6,[1]Hugst!$R$5:$W$9,MATCH(ROUNDUP((G$1)/10,0)*10,[1]Hugst!$R$4:$W$4,0))))</f>
        <v>0</v>
      </c>
      <c r="H6">
        <f ca="1">IF($C6-H$1&lt;År1,0,G5*(1-VLOOKUP($A6,[1]Hugst!$R$5:$W$9,MATCH(ROUNDUP((H$1)/10,0)*10,[1]Hugst!$R$4:$W$4,0))))</f>
        <v>0</v>
      </c>
      <c r="I6">
        <f ca="1">IF($C6-I$1&lt;År1,0,H5*(1-VLOOKUP($A6,[1]Hugst!$R$5:$W$9,MATCH(ROUNDUP((I$1)/10,0)*10,[1]Hugst!$R$4:$W$4,0))))</f>
        <v>0</v>
      </c>
      <c r="J6">
        <f ca="1">IF($C6-J$1&lt;År1,0,I5*(1-VLOOKUP($A6,[1]Hugst!$R$5:$W$9,MATCH(ROUNDUP((J$1)/10,0)*10,[1]Hugst!$R$4:$W$4,0))))</f>
        <v>0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0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>
        <f ca="1">IF($C7-G$1&lt;År1,0,F6*(1-VLOOKUP($A7,[1]Hugst!$R$5:$W$9,MATCH(ROUNDUP((G$1)/10,0)*10,[1]Hugst!$R$4:$W$4,0))))</f>
        <v>0</v>
      </c>
      <c r="H7">
        <f ca="1">IF($C7-H$1&lt;År1,0,G6*(1-VLOOKUP($A7,[1]Hugst!$R$5:$W$9,MATCH(ROUNDUP((H$1)/10,0)*10,[1]Hugst!$R$4:$W$4,0))))</f>
        <v>0</v>
      </c>
      <c r="I7">
        <f ca="1">IF($C7-I$1&lt;År1,0,H6*(1-VLOOKUP($A7,[1]Hugst!$R$5:$W$9,MATCH(ROUNDUP((I$1)/10,0)*10,[1]Hugst!$R$4:$W$4,0))))</f>
        <v>0</v>
      </c>
      <c r="J7">
        <f ca="1">IF($C7-J$1&lt;År1,0,I6*(1-VLOOKUP($A7,[1]Hugst!$R$5:$W$9,MATCH(ROUNDUP((J$1)/10,0)*10,[1]Hugst!$R$4:$W$4,0))))</f>
        <v>0</v>
      </c>
      <c r="K7">
        <f ca="1">IF($C7-K$1&lt;År1,0,J6*(1-VLOOKUP($A7,[1]Hugst!$R$5:$W$9,MATCH(ROUNDUP((K$1)/10,0)*10,[1]Hugst!$R$4:$W$4,0))))</f>
        <v>0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0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>
        <f ca="1">IF($C8-G$1&lt;År1,0,F7*(1-VLOOKUP($A8,[1]Hugst!$R$5:$W$9,MATCH(ROUNDUP((G$1)/10,0)*10,[1]Hugst!$R$4:$W$4,0))))</f>
        <v>0</v>
      </c>
      <c r="H8">
        <f ca="1">IF($C8-H$1&lt;År1,0,G7*(1-VLOOKUP($A8,[1]Hugst!$R$5:$W$9,MATCH(ROUNDUP((H$1)/10,0)*10,[1]Hugst!$R$4:$W$4,0))))</f>
        <v>0</v>
      </c>
      <c r="I8">
        <f ca="1">IF($C8-I$1&lt;År1,0,H7*(1-VLOOKUP($A8,[1]Hugst!$R$5:$W$9,MATCH(ROUNDUP((I$1)/10,0)*10,[1]Hugst!$R$4:$W$4,0))))</f>
        <v>0</v>
      </c>
      <c r="J8">
        <f ca="1">IF($C8-J$1&lt;År1,0,I7*(1-VLOOKUP($A8,[1]Hugst!$R$5:$W$9,MATCH(ROUNDUP((J$1)/10,0)*10,[1]Hugst!$R$4:$W$4,0))))</f>
        <v>0</v>
      </c>
      <c r="K8">
        <f ca="1">IF($C8-K$1&lt;År1,0,J7*(1-VLOOKUP($A8,[1]Hugst!$R$5:$W$9,MATCH(ROUNDUP((K$1)/10,0)*10,[1]Hugst!$R$4:$W$4,0))))</f>
        <v>0</v>
      </c>
      <c r="L8">
        <f ca="1">IF($C8-L$1&lt;År1,0,K7*(1-VLOOKUP($A8,[1]Hugst!$R$5:$W$9,MATCH(ROUNDUP((L$1)/10,0)*10,[1]Hugst!$R$4:$W$4,0))))</f>
        <v>0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0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>
        <f ca="1">IF($C9-G$1&lt;År1,0,F8*(1-VLOOKUP($A9,[1]Hugst!$R$5:$W$9,MATCH(ROUNDUP((G$1)/10,0)*10,[1]Hugst!$R$4:$W$4,0))))</f>
        <v>0</v>
      </c>
      <c r="H9">
        <f ca="1">IF($C9-H$1&lt;År1,0,G8*(1-VLOOKUP($A9,[1]Hugst!$R$5:$W$9,MATCH(ROUNDUP((H$1)/10,0)*10,[1]Hugst!$R$4:$W$4,0))))</f>
        <v>0</v>
      </c>
      <c r="I9">
        <f ca="1">IF($C9-I$1&lt;År1,0,H8*(1-VLOOKUP($A9,[1]Hugst!$R$5:$W$9,MATCH(ROUNDUP((I$1)/10,0)*10,[1]Hugst!$R$4:$W$4,0))))</f>
        <v>0</v>
      </c>
      <c r="J9">
        <f ca="1">IF($C9-J$1&lt;År1,0,I8*(1-VLOOKUP($A9,[1]Hugst!$R$5:$W$9,MATCH(ROUNDUP((J$1)/10,0)*10,[1]Hugst!$R$4:$W$4,0))))</f>
        <v>0</v>
      </c>
      <c r="K9">
        <f ca="1">IF($C9-K$1&lt;År1,0,J8*(1-VLOOKUP($A9,[1]Hugst!$R$5:$W$9,MATCH(ROUNDUP((K$1)/10,0)*10,[1]Hugst!$R$4:$W$4,0))))</f>
        <v>0</v>
      </c>
      <c r="L9">
        <f ca="1">IF($C9-L$1&lt;År1,0,K8*(1-VLOOKUP($A9,[1]Hugst!$R$5:$W$9,MATCH(ROUNDUP((L$1)/10,0)*10,[1]Hugst!$R$4:$W$4,0))))</f>
        <v>0</v>
      </c>
      <c r="M9">
        <f ca="1">IF($C9-M$1&lt;År1,0,L8*(1-VLOOKUP($A9,[1]Hugst!$R$5:$W$9,MATCH(ROUNDUP((M$1)/10,0)*10,[1]Hugst!$R$4:$W$4,0))))</f>
        <v>0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0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>
        <f ca="1">IF($C10-G$1&lt;År1,0,F9*(1-VLOOKUP($A10,[1]Hugst!$R$5:$W$9,MATCH(ROUNDUP((G$1)/10,0)*10,[1]Hugst!$R$4:$W$4,0))))</f>
        <v>0</v>
      </c>
      <c r="H10">
        <f ca="1">IF($C10-H$1&lt;År1,0,G9*(1-VLOOKUP($A10,[1]Hugst!$R$5:$W$9,MATCH(ROUNDUP((H$1)/10,0)*10,[1]Hugst!$R$4:$W$4,0))))</f>
        <v>0</v>
      </c>
      <c r="I10">
        <f ca="1">IF($C10-I$1&lt;År1,0,H9*(1-VLOOKUP($A10,[1]Hugst!$R$5:$W$9,MATCH(ROUNDUP((I$1)/10,0)*10,[1]Hugst!$R$4:$W$4,0))))</f>
        <v>0</v>
      </c>
      <c r="J10">
        <f ca="1">IF($C10-J$1&lt;År1,0,I9*(1-VLOOKUP($A10,[1]Hugst!$R$5:$W$9,MATCH(ROUNDUP((J$1)/10,0)*10,[1]Hugst!$R$4:$W$4,0))))</f>
        <v>0</v>
      </c>
      <c r="K10">
        <f ca="1">IF($C10-K$1&lt;År1,0,J9*(1-VLOOKUP($A10,[1]Hugst!$R$5:$W$9,MATCH(ROUNDUP((K$1)/10,0)*10,[1]Hugst!$R$4:$W$4,0))))</f>
        <v>0</v>
      </c>
      <c r="L10">
        <f ca="1">IF($C10-L$1&lt;År1,0,K9*(1-VLOOKUP($A10,[1]Hugst!$R$5:$W$9,MATCH(ROUNDUP((L$1)/10,0)*10,[1]Hugst!$R$4:$W$4,0))))</f>
        <v>0</v>
      </c>
      <c r="M10">
        <f ca="1">IF($C10-M$1&lt;År1,0,L9*(1-VLOOKUP($A10,[1]Hugst!$R$5:$W$9,MATCH(ROUNDUP((M$1)/10,0)*10,[1]Hugst!$R$4:$W$4,0))))</f>
        <v>0</v>
      </c>
      <c r="N10">
        <f ca="1">IF($C10-N$1&lt;År1,0,M9*(1-VLOOKUP($A10,[1]Hugst!$R$5:$W$9,MATCH(ROUNDUP((N$1)/10,0)*10,[1]Hugst!$R$4:$W$4,0))))</f>
        <v>0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0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>
        <f ca="1">IF($C11-G$1&lt;År1,0,F10*(1-VLOOKUP($A11,[1]Hugst!$R$5:$W$9,MATCH(ROUNDUP((G$1)/10,0)*10,[1]Hugst!$R$4:$W$4,0))))</f>
        <v>0</v>
      </c>
      <c r="H11">
        <f ca="1">IF($C11-H$1&lt;År1,0,G10*(1-VLOOKUP($A11,[1]Hugst!$R$5:$W$9,MATCH(ROUNDUP((H$1)/10,0)*10,[1]Hugst!$R$4:$W$4,0))))</f>
        <v>0</v>
      </c>
      <c r="I11">
        <f ca="1">IF($C11-I$1&lt;År1,0,H10*(1-VLOOKUP($A11,[1]Hugst!$R$5:$W$9,MATCH(ROUNDUP((I$1)/10,0)*10,[1]Hugst!$R$4:$W$4,0))))</f>
        <v>0</v>
      </c>
      <c r="J11">
        <f ca="1">IF($C11-J$1&lt;År1,0,I10*(1-VLOOKUP($A11,[1]Hugst!$R$5:$W$9,MATCH(ROUNDUP((J$1)/10,0)*10,[1]Hugst!$R$4:$W$4,0))))</f>
        <v>0</v>
      </c>
      <c r="K11">
        <f ca="1">IF($C11-K$1&lt;År1,0,J10*(1-VLOOKUP($A11,[1]Hugst!$R$5:$W$9,MATCH(ROUNDUP((K$1)/10,0)*10,[1]Hugst!$R$4:$W$4,0))))</f>
        <v>0</v>
      </c>
      <c r="L11">
        <f ca="1">IF($C11-L$1&lt;År1,0,K10*(1-VLOOKUP($A11,[1]Hugst!$R$5:$W$9,MATCH(ROUNDUP((L$1)/10,0)*10,[1]Hugst!$R$4:$W$4,0))))</f>
        <v>0</v>
      </c>
      <c r="M11">
        <f ca="1">IF($C11-M$1&lt;År1,0,L10*(1-VLOOKUP($A11,[1]Hugst!$R$5:$W$9,MATCH(ROUNDUP((M$1)/10,0)*10,[1]Hugst!$R$4:$W$4,0))))</f>
        <v>0</v>
      </c>
      <c r="N11">
        <f ca="1">IF($C11-N$1&lt;År1,0,M10*(1-VLOOKUP($A11,[1]Hugst!$R$5:$W$9,MATCH(ROUNDUP((N$1)/10,0)*10,[1]Hugst!$R$4:$W$4,0))))</f>
        <v>0</v>
      </c>
      <c r="O11">
        <f ca="1">IF($C11-O$1&lt;År1,0,N10*(1-VLOOKUP($A11,[1]Hugst!$R$5:$W$9,MATCH(ROUNDUP((O$1)/10,0)*10,[1]Hugst!$R$4:$W$4,0))))</f>
        <v>0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0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>
        <f ca="1">IF($C12-G$1&lt;År1,0,F11*(1-VLOOKUP($A12,[1]Hugst!$R$5:$W$9,MATCH(ROUNDUP((G$1)/10,0)*10,[1]Hugst!$R$4:$W$4,0))))</f>
        <v>0</v>
      </c>
      <c r="H12">
        <f ca="1">IF($C12-H$1&lt;År1,0,G11*(1-VLOOKUP($A12,[1]Hugst!$R$5:$W$9,MATCH(ROUNDUP((H$1)/10,0)*10,[1]Hugst!$R$4:$W$4,0))))</f>
        <v>0</v>
      </c>
      <c r="I12">
        <f ca="1">IF($C12-I$1&lt;År1,0,H11*(1-VLOOKUP($A12,[1]Hugst!$R$5:$W$9,MATCH(ROUNDUP((I$1)/10,0)*10,[1]Hugst!$R$4:$W$4,0))))</f>
        <v>0</v>
      </c>
      <c r="J12">
        <f ca="1">IF($C12-J$1&lt;År1,0,I11*(1-VLOOKUP($A12,[1]Hugst!$R$5:$W$9,MATCH(ROUNDUP((J$1)/10,0)*10,[1]Hugst!$R$4:$W$4,0))))</f>
        <v>0</v>
      </c>
      <c r="K12">
        <f ca="1">IF($C12-K$1&lt;År1,0,J11*(1-VLOOKUP($A12,[1]Hugst!$R$5:$W$9,MATCH(ROUNDUP((K$1)/10,0)*10,[1]Hugst!$R$4:$W$4,0))))</f>
        <v>0</v>
      </c>
      <c r="L12">
        <f ca="1">IF($C12-L$1&lt;År1,0,K11*(1-VLOOKUP($A12,[1]Hugst!$R$5:$W$9,MATCH(ROUNDUP((L$1)/10,0)*10,[1]Hugst!$R$4:$W$4,0))))</f>
        <v>0</v>
      </c>
      <c r="M12">
        <f ca="1">IF($C12-M$1&lt;År1,0,L11*(1-VLOOKUP($A12,[1]Hugst!$R$5:$W$9,MATCH(ROUNDUP((M$1)/10,0)*10,[1]Hugst!$R$4:$W$4,0))))</f>
        <v>0</v>
      </c>
      <c r="N12">
        <f ca="1">IF($C12-N$1&lt;År1,0,M11*(1-VLOOKUP($A12,[1]Hugst!$R$5:$W$9,MATCH(ROUNDUP((N$1)/10,0)*10,[1]Hugst!$R$4:$W$4,0))))</f>
        <v>0</v>
      </c>
      <c r="O12">
        <f ca="1">IF($C12-O$1&lt;År1,0,N11*(1-VLOOKUP($A12,[1]Hugst!$R$5:$W$9,MATCH(ROUNDUP((O$1)/10,0)*10,[1]Hugst!$R$4:$W$4,0))))</f>
        <v>0</v>
      </c>
      <c r="P12">
        <f ca="1">IF($C12-P$1&lt;År1,0,O11*(1-VLOOKUP($A12,[1]Hugst!$R$5:$W$9,MATCH(ROUNDUP((P$1)/10,0)*10,[1]Hugst!$R$4:$W$4,0))))</f>
        <v>0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0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>
        <f ca="1">IF($C13-G$1&lt;År1,0,F12*(1-VLOOKUP($A13,[1]Hugst!$R$5:$W$9,MATCH(ROUNDUP((G$1)/10,0)*10,[1]Hugst!$R$4:$W$4,0))))</f>
        <v>0</v>
      </c>
      <c r="H13">
        <f ca="1">IF($C13-H$1&lt;År1,0,G12*(1-VLOOKUP($A13,[1]Hugst!$R$5:$W$9,MATCH(ROUNDUP((H$1)/10,0)*10,[1]Hugst!$R$4:$W$4,0))))</f>
        <v>0</v>
      </c>
      <c r="I13">
        <f ca="1">IF($C13-I$1&lt;År1,0,H12*(1-VLOOKUP($A13,[1]Hugst!$R$5:$W$9,MATCH(ROUNDUP((I$1)/10,0)*10,[1]Hugst!$R$4:$W$4,0))))</f>
        <v>0</v>
      </c>
      <c r="J13">
        <f ca="1">IF($C13-J$1&lt;År1,0,I12*(1-VLOOKUP($A13,[1]Hugst!$R$5:$W$9,MATCH(ROUNDUP((J$1)/10,0)*10,[1]Hugst!$R$4:$W$4,0))))</f>
        <v>0</v>
      </c>
      <c r="K13">
        <f ca="1">IF($C13-K$1&lt;År1,0,J12*(1-VLOOKUP($A13,[1]Hugst!$R$5:$W$9,MATCH(ROUNDUP((K$1)/10,0)*10,[1]Hugst!$R$4:$W$4,0))))</f>
        <v>0</v>
      </c>
      <c r="L13">
        <f ca="1">IF($C13-L$1&lt;År1,0,K12*(1-VLOOKUP($A13,[1]Hugst!$R$5:$W$9,MATCH(ROUNDUP((L$1)/10,0)*10,[1]Hugst!$R$4:$W$4,0))))</f>
        <v>0</v>
      </c>
      <c r="M13">
        <f ca="1">IF($C13-M$1&lt;År1,0,L12*(1-VLOOKUP($A13,[1]Hugst!$R$5:$W$9,MATCH(ROUNDUP((M$1)/10,0)*10,[1]Hugst!$R$4:$W$4,0))))</f>
        <v>0</v>
      </c>
      <c r="N13">
        <f ca="1">IF($C13-N$1&lt;År1,0,M12*(1-VLOOKUP($A13,[1]Hugst!$R$5:$W$9,MATCH(ROUNDUP((N$1)/10,0)*10,[1]Hugst!$R$4:$W$4,0))))</f>
        <v>0</v>
      </c>
      <c r="O13">
        <f ca="1">IF($C13-O$1&lt;År1,0,N12*(1-VLOOKUP($A13,[1]Hugst!$R$5:$W$9,MATCH(ROUNDUP((O$1)/10,0)*10,[1]Hugst!$R$4:$W$4,0))))</f>
        <v>0</v>
      </c>
      <c r="P13">
        <f ca="1">IF($C13-P$1&lt;År1,0,O12*(1-VLOOKUP($A13,[1]Hugst!$R$5:$W$9,MATCH(ROUNDUP((P$1)/10,0)*10,[1]Hugst!$R$4:$W$4,0))))</f>
        <v>0</v>
      </c>
      <c r="Q13">
        <f ca="1">IF($C13-Q$1&lt;År1,0,P12*(1-VLOOKUP($A13,[1]Hugst!$R$5:$W$9,MATCH(ROUNDUP((Q$1)/10,0)*10,[1]Hugst!$R$4:$W$4,0))))</f>
        <v>0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0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>
        <f ca="1">IF($C14-G$1&lt;År1,0,F13*(1-VLOOKUP($A14,[1]Hugst!$R$5:$W$9,MATCH(ROUNDUP((G$1)/10,0)*10,[1]Hugst!$R$4:$W$4,0))))</f>
        <v>0</v>
      </c>
      <c r="H14">
        <f ca="1">IF($C14-H$1&lt;År1,0,G13*(1-VLOOKUP($A14,[1]Hugst!$R$5:$W$9,MATCH(ROUNDUP((H$1)/10,0)*10,[1]Hugst!$R$4:$W$4,0))))</f>
        <v>0</v>
      </c>
      <c r="I14">
        <f ca="1">IF($C14-I$1&lt;År1,0,H13*(1-VLOOKUP($A14,[1]Hugst!$R$5:$W$9,MATCH(ROUNDUP((I$1)/10,0)*10,[1]Hugst!$R$4:$W$4,0))))</f>
        <v>0</v>
      </c>
      <c r="J14">
        <f ca="1">IF($C14-J$1&lt;År1,0,I13*(1-VLOOKUP($A14,[1]Hugst!$R$5:$W$9,MATCH(ROUNDUP((J$1)/10,0)*10,[1]Hugst!$R$4:$W$4,0))))</f>
        <v>0</v>
      </c>
      <c r="K14">
        <f ca="1">IF($C14-K$1&lt;År1,0,J13*(1-VLOOKUP($A14,[1]Hugst!$R$5:$W$9,MATCH(ROUNDUP((K$1)/10,0)*10,[1]Hugst!$R$4:$W$4,0))))</f>
        <v>0</v>
      </c>
      <c r="L14">
        <f ca="1">IF($C14-L$1&lt;År1,0,K13*(1-VLOOKUP($A14,[1]Hugst!$R$5:$W$9,MATCH(ROUNDUP((L$1)/10,0)*10,[1]Hugst!$R$4:$W$4,0))))</f>
        <v>0</v>
      </c>
      <c r="M14">
        <f ca="1">IF($C14-M$1&lt;År1,0,L13*(1-VLOOKUP($A14,[1]Hugst!$R$5:$W$9,MATCH(ROUNDUP((M$1)/10,0)*10,[1]Hugst!$R$4:$W$4,0))))</f>
        <v>0</v>
      </c>
      <c r="N14">
        <f ca="1">IF($C14-N$1&lt;År1,0,M13*(1-VLOOKUP($A14,[1]Hugst!$R$5:$W$9,MATCH(ROUNDUP((N$1)/10,0)*10,[1]Hugst!$R$4:$W$4,0))))</f>
        <v>0</v>
      </c>
      <c r="O14">
        <f ca="1">IF($C14-O$1&lt;År1,0,N13*(1-VLOOKUP($A14,[1]Hugst!$R$5:$W$9,MATCH(ROUNDUP((O$1)/10,0)*10,[1]Hugst!$R$4:$W$4,0))))</f>
        <v>0</v>
      </c>
      <c r="P14">
        <f ca="1">IF($C14-P$1&lt;År1,0,O13*(1-VLOOKUP($A14,[1]Hugst!$R$5:$W$9,MATCH(ROUNDUP((P$1)/10,0)*10,[1]Hugst!$R$4:$W$4,0))))</f>
        <v>0</v>
      </c>
      <c r="Q14">
        <f ca="1">IF($C14-Q$1&lt;År1,0,P13*(1-VLOOKUP($A14,[1]Hugst!$R$5:$W$9,MATCH(ROUNDUP((Q$1)/10,0)*10,[1]Hugst!$R$4:$W$4,0))))</f>
        <v>0</v>
      </c>
      <c r="R14">
        <f ca="1">IF($C14-R$1&lt;År1,0,Q13*(1-VLOOKUP($A14,[1]Hugst!$R$5:$W$9,MATCH(ROUNDUP((R$1)/10,0)*10,[1]Hugst!$R$4:$W$4,0))))</f>
        <v>0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0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>
        <f ca="1">IF($C15-G$1&lt;År1,0,F14*(1-VLOOKUP($A15,[1]Hugst!$R$5:$W$9,MATCH(ROUNDUP((G$1)/10,0)*10,[1]Hugst!$R$4:$W$4,0))))</f>
        <v>0</v>
      </c>
      <c r="H15">
        <f ca="1">IF($C15-H$1&lt;År1,0,G14*(1-VLOOKUP($A15,[1]Hugst!$R$5:$W$9,MATCH(ROUNDUP((H$1)/10,0)*10,[1]Hugst!$R$4:$W$4,0))))</f>
        <v>0</v>
      </c>
      <c r="I15">
        <f ca="1">IF($C15-I$1&lt;År1,0,H14*(1-VLOOKUP($A15,[1]Hugst!$R$5:$W$9,MATCH(ROUNDUP((I$1)/10,0)*10,[1]Hugst!$R$4:$W$4,0))))</f>
        <v>0</v>
      </c>
      <c r="J15">
        <f ca="1">IF($C15-J$1&lt;År1,0,I14*(1-VLOOKUP($A15,[1]Hugst!$R$5:$W$9,MATCH(ROUNDUP((J$1)/10,0)*10,[1]Hugst!$R$4:$W$4,0))))</f>
        <v>0</v>
      </c>
      <c r="K15">
        <f ca="1">IF($C15-K$1&lt;År1,0,J14*(1-VLOOKUP($A15,[1]Hugst!$R$5:$W$9,MATCH(ROUNDUP((K$1)/10,0)*10,[1]Hugst!$R$4:$W$4,0))))</f>
        <v>0</v>
      </c>
      <c r="L15">
        <f ca="1">IF($C15-L$1&lt;År1,0,K14*(1-VLOOKUP($A15,[1]Hugst!$R$5:$W$9,MATCH(ROUNDUP((L$1)/10,0)*10,[1]Hugst!$R$4:$W$4,0))))</f>
        <v>0</v>
      </c>
      <c r="M15">
        <f ca="1">IF($C15-M$1&lt;År1,0,L14*(1-VLOOKUP($A15,[1]Hugst!$R$5:$W$9,MATCH(ROUNDUP((M$1)/10,0)*10,[1]Hugst!$R$4:$W$4,0))))</f>
        <v>0</v>
      </c>
      <c r="N15">
        <f ca="1">IF($C15-N$1&lt;År1,0,M14*(1-VLOOKUP($A15,[1]Hugst!$R$5:$W$9,MATCH(ROUNDUP((N$1)/10,0)*10,[1]Hugst!$R$4:$W$4,0))))</f>
        <v>0</v>
      </c>
      <c r="O15">
        <f ca="1">IF($C15-O$1&lt;År1,0,N14*(1-VLOOKUP($A15,[1]Hugst!$R$5:$W$9,MATCH(ROUNDUP((O$1)/10,0)*10,[1]Hugst!$R$4:$W$4,0))))</f>
        <v>0</v>
      </c>
      <c r="P15">
        <f ca="1">IF($C15-P$1&lt;År1,0,O14*(1-VLOOKUP($A15,[1]Hugst!$R$5:$W$9,MATCH(ROUNDUP((P$1)/10,0)*10,[1]Hugst!$R$4:$W$4,0))))</f>
        <v>0</v>
      </c>
      <c r="Q15">
        <f ca="1">IF($C15-Q$1&lt;År1,0,P14*(1-VLOOKUP($A15,[1]Hugst!$R$5:$W$9,MATCH(ROUNDUP((Q$1)/10,0)*10,[1]Hugst!$R$4:$W$4,0))))</f>
        <v>0</v>
      </c>
      <c r="R15">
        <f ca="1">IF($C15-R$1&lt;År1,0,Q14*(1-VLOOKUP($A15,[1]Hugst!$R$5:$W$9,MATCH(ROUNDUP((R$1)/10,0)*10,[1]Hugst!$R$4:$W$4,0))))</f>
        <v>0</v>
      </c>
      <c r="S15">
        <f ca="1">IF($C15-S$1&lt;År1,0,R14*(1-VLOOKUP($A15,[1]Hugst!$R$5:$W$9,MATCH(ROUNDUP((S$1)/10,0)*10,[1]Hugst!$R$4:$W$4,0))))</f>
        <v>0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0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>
        <f ca="1">IF($C16-G$1&lt;År1,0,F15*(1-VLOOKUP($A16,[1]Hugst!$R$5:$W$9,MATCH(ROUNDUP((G$1)/10,0)*10,[1]Hugst!$R$4:$W$4,0))))</f>
        <v>0</v>
      </c>
      <c r="H16">
        <f ca="1">IF($C16-H$1&lt;År1,0,G15*(1-VLOOKUP($A16,[1]Hugst!$R$5:$W$9,MATCH(ROUNDUP((H$1)/10,0)*10,[1]Hugst!$R$4:$W$4,0))))</f>
        <v>0</v>
      </c>
      <c r="I16">
        <f ca="1">IF($C16-I$1&lt;År1,0,H15*(1-VLOOKUP($A16,[1]Hugst!$R$5:$W$9,MATCH(ROUNDUP((I$1)/10,0)*10,[1]Hugst!$R$4:$W$4,0))))</f>
        <v>0</v>
      </c>
      <c r="J16">
        <f ca="1">IF($C16-J$1&lt;År1,0,I15*(1-VLOOKUP($A16,[1]Hugst!$R$5:$W$9,MATCH(ROUNDUP((J$1)/10,0)*10,[1]Hugst!$R$4:$W$4,0))))</f>
        <v>0</v>
      </c>
      <c r="K16">
        <f ca="1">IF($C16-K$1&lt;År1,0,J15*(1-VLOOKUP($A16,[1]Hugst!$R$5:$W$9,MATCH(ROUNDUP((K$1)/10,0)*10,[1]Hugst!$R$4:$W$4,0))))</f>
        <v>0</v>
      </c>
      <c r="L16">
        <f ca="1">IF($C16-L$1&lt;År1,0,K15*(1-VLOOKUP($A16,[1]Hugst!$R$5:$W$9,MATCH(ROUNDUP((L$1)/10,0)*10,[1]Hugst!$R$4:$W$4,0))))</f>
        <v>0</v>
      </c>
      <c r="M16">
        <f ca="1">IF($C16-M$1&lt;År1,0,L15*(1-VLOOKUP($A16,[1]Hugst!$R$5:$W$9,MATCH(ROUNDUP((M$1)/10,0)*10,[1]Hugst!$R$4:$W$4,0))))</f>
        <v>0</v>
      </c>
      <c r="N16">
        <f ca="1">IF($C16-N$1&lt;År1,0,M15*(1-VLOOKUP($A16,[1]Hugst!$R$5:$W$9,MATCH(ROUNDUP((N$1)/10,0)*10,[1]Hugst!$R$4:$W$4,0))))</f>
        <v>0</v>
      </c>
      <c r="O16">
        <f ca="1">IF($C16-O$1&lt;År1,0,N15*(1-VLOOKUP($A16,[1]Hugst!$R$5:$W$9,MATCH(ROUNDUP((O$1)/10,0)*10,[1]Hugst!$R$4:$W$4,0))))</f>
        <v>0</v>
      </c>
      <c r="P16">
        <f ca="1">IF($C16-P$1&lt;År1,0,O15*(1-VLOOKUP($A16,[1]Hugst!$R$5:$W$9,MATCH(ROUNDUP((P$1)/10,0)*10,[1]Hugst!$R$4:$W$4,0))))</f>
        <v>0</v>
      </c>
      <c r="Q16">
        <f ca="1">IF($C16-Q$1&lt;År1,0,P15*(1-VLOOKUP($A16,[1]Hugst!$R$5:$W$9,MATCH(ROUNDUP((Q$1)/10,0)*10,[1]Hugst!$R$4:$W$4,0))))</f>
        <v>0</v>
      </c>
      <c r="R16">
        <f ca="1">IF($C16-R$1&lt;År1,0,Q15*(1-VLOOKUP($A16,[1]Hugst!$R$5:$W$9,MATCH(ROUNDUP((R$1)/10,0)*10,[1]Hugst!$R$4:$W$4,0))))</f>
        <v>0</v>
      </c>
      <c r="S16">
        <f ca="1">IF($C16-S$1&lt;År1,0,R15*(1-VLOOKUP($A16,[1]Hugst!$R$5:$W$9,MATCH(ROUNDUP((S$1)/10,0)*10,[1]Hugst!$R$4:$W$4,0))))</f>
        <v>0</v>
      </c>
      <c r="T16">
        <f ca="1">IF($C16-T$1&lt;År1,0,S15*(1-VLOOKUP($A16,[1]Hugst!$R$5:$W$9,MATCH(ROUNDUP((T$1)/10,0)*10,[1]Hugst!$R$4:$W$4,0))))</f>
        <v>0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0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>
        <f ca="1">IF($C17-G$1&lt;År1,0,F16*(1-VLOOKUP($A17,[1]Hugst!$R$5:$W$9,MATCH(ROUNDUP((G$1)/10,0)*10,[1]Hugst!$R$4:$W$4,0))))</f>
        <v>0</v>
      </c>
      <c r="H17">
        <f ca="1">IF($C17-H$1&lt;År1,0,G16*(1-VLOOKUP($A17,[1]Hugst!$R$5:$W$9,MATCH(ROUNDUP((H$1)/10,0)*10,[1]Hugst!$R$4:$W$4,0))))</f>
        <v>0</v>
      </c>
      <c r="I17">
        <f ca="1">IF($C17-I$1&lt;År1,0,H16*(1-VLOOKUP($A17,[1]Hugst!$R$5:$W$9,MATCH(ROUNDUP((I$1)/10,0)*10,[1]Hugst!$R$4:$W$4,0))))</f>
        <v>0</v>
      </c>
      <c r="J17">
        <f ca="1">IF($C17-J$1&lt;År1,0,I16*(1-VLOOKUP($A17,[1]Hugst!$R$5:$W$9,MATCH(ROUNDUP((J$1)/10,0)*10,[1]Hugst!$R$4:$W$4,0))))</f>
        <v>0</v>
      </c>
      <c r="K17">
        <f ca="1">IF($C17-K$1&lt;År1,0,J16*(1-VLOOKUP($A17,[1]Hugst!$R$5:$W$9,MATCH(ROUNDUP((K$1)/10,0)*10,[1]Hugst!$R$4:$W$4,0))))</f>
        <v>0</v>
      </c>
      <c r="L17">
        <f ca="1">IF($C17-L$1&lt;År1,0,K16*(1-VLOOKUP($A17,[1]Hugst!$R$5:$W$9,MATCH(ROUNDUP((L$1)/10,0)*10,[1]Hugst!$R$4:$W$4,0))))</f>
        <v>0</v>
      </c>
      <c r="M17">
        <f ca="1">IF($C17-M$1&lt;År1,0,L16*(1-VLOOKUP($A17,[1]Hugst!$R$5:$W$9,MATCH(ROUNDUP((M$1)/10,0)*10,[1]Hugst!$R$4:$W$4,0))))</f>
        <v>0</v>
      </c>
      <c r="N17">
        <f ca="1">IF($C17-N$1&lt;År1,0,M16*(1-VLOOKUP($A17,[1]Hugst!$R$5:$W$9,MATCH(ROUNDUP((N$1)/10,0)*10,[1]Hugst!$R$4:$W$4,0))))</f>
        <v>0</v>
      </c>
      <c r="O17">
        <f ca="1">IF($C17-O$1&lt;År1,0,N16*(1-VLOOKUP($A17,[1]Hugst!$R$5:$W$9,MATCH(ROUNDUP((O$1)/10,0)*10,[1]Hugst!$R$4:$W$4,0))))</f>
        <v>0</v>
      </c>
      <c r="P17">
        <f ca="1">IF($C17-P$1&lt;År1,0,O16*(1-VLOOKUP($A17,[1]Hugst!$R$5:$W$9,MATCH(ROUNDUP((P$1)/10,0)*10,[1]Hugst!$R$4:$W$4,0))))</f>
        <v>0</v>
      </c>
      <c r="Q17">
        <f ca="1">IF($C17-Q$1&lt;År1,0,P16*(1-VLOOKUP($A17,[1]Hugst!$R$5:$W$9,MATCH(ROUNDUP((Q$1)/10,0)*10,[1]Hugst!$R$4:$W$4,0))))</f>
        <v>0</v>
      </c>
      <c r="R17">
        <f ca="1">IF($C17-R$1&lt;År1,0,Q16*(1-VLOOKUP($A17,[1]Hugst!$R$5:$W$9,MATCH(ROUNDUP((R$1)/10,0)*10,[1]Hugst!$R$4:$W$4,0))))</f>
        <v>0</v>
      </c>
      <c r="S17">
        <f ca="1">IF($C17-S$1&lt;År1,0,R16*(1-VLOOKUP($A17,[1]Hugst!$R$5:$W$9,MATCH(ROUNDUP((S$1)/10,0)*10,[1]Hugst!$R$4:$W$4,0))))</f>
        <v>0</v>
      </c>
      <c r="T17">
        <f ca="1">IF($C17-T$1&lt;År1,0,S16*(1-VLOOKUP($A17,[1]Hugst!$R$5:$W$9,MATCH(ROUNDUP((T$1)/10,0)*10,[1]Hugst!$R$4:$W$4,0))))</f>
        <v>0</v>
      </c>
      <c r="U17">
        <f ca="1">IF($C17-U$1&lt;År1,0,T16*(1-VLOOKUP($A17,[1]Hugst!$R$5:$W$9,MATCH(ROUNDUP((U$1)/10,0)*10,[1]Hugst!$R$4:$W$4,0))))</f>
        <v>0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0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>
        <f ca="1">IF($C18-G$1&lt;År1,0,F17*(1-VLOOKUP($A18,[1]Hugst!$R$5:$W$9,MATCH(ROUNDUP((G$1)/10,0)*10,[1]Hugst!$R$4:$W$4,0))))</f>
        <v>0</v>
      </c>
      <c r="H18">
        <f ca="1">IF($C18-H$1&lt;År1,0,G17*(1-VLOOKUP($A18,[1]Hugst!$R$5:$W$9,MATCH(ROUNDUP((H$1)/10,0)*10,[1]Hugst!$R$4:$W$4,0))))</f>
        <v>0</v>
      </c>
      <c r="I18">
        <f ca="1">IF($C18-I$1&lt;År1,0,H17*(1-VLOOKUP($A18,[1]Hugst!$R$5:$W$9,MATCH(ROUNDUP((I$1)/10,0)*10,[1]Hugst!$R$4:$W$4,0))))</f>
        <v>0</v>
      </c>
      <c r="J18">
        <f ca="1">IF($C18-J$1&lt;År1,0,I17*(1-VLOOKUP($A18,[1]Hugst!$R$5:$W$9,MATCH(ROUNDUP((J$1)/10,0)*10,[1]Hugst!$R$4:$W$4,0))))</f>
        <v>0</v>
      </c>
      <c r="K18">
        <f ca="1">IF($C18-K$1&lt;År1,0,J17*(1-VLOOKUP($A18,[1]Hugst!$R$5:$W$9,MATCH(ROUNDUP((K$1)/10,0)*10,[1]Hugst!$R$4:$W$4,0))))</f>
        <v>0</v>
      </c>
      <c r="L18">
        <f ca="1">IF($C18-L$1&lt;År1,0,K17*(1-VLOOKUP($A18,[1]Hugst!$R$5:$W$9,MATCH(ROUNDUP((L$1)/10,0)*10,[1]Hugst!$R$4:$W$4,0))))</f>
        <v>0</v>
      </c>
      <c r="M18">
        <f ca="1">IF($C18-M$1&lt;År1,0,L17*(1-VLOOKUP($A18,[1]Hugst!$R$5:$W$9,MATCH(ROUNDUP((M$1)/10,0)*10,[1]Hugst!$R$4:$W$4,0))))</f>
        <v>0</v>
      </c>
      <c r="N18">
        <f ca="1">IF($C18-N$1&lt;År1,0,M17*(1-VLOOKUP($A18,[1]Hugst!$R$5:$W$9,MATCH(ROUNDUP((N$1)/10,0)*10,[1]Hugst!$R$4:$W$4,0))))</f>
        <v>0</v>
      </c>
      <c r="O18">
        <f ca="1">IF($C18-O$1&lt;År1,0,N17*(1-VLOOKUP($A18,[1]Hugst!$R$5:$W$9,MATCH(ROUNDUP((O$1)/10,0)*10,[1]Hugst!$R$4:$W$4,0))))</f>
        <v>0</v>
      </c>
      <c r="P18">
        <f ca="1">IF($C18-P$1&lt;År1,0,O17*(1-VLOOKUP($A18,[1]Hugst!$R$5:$W$9,MATCH(ROUNDUP((P$1)/10,0)*10,[1]Hugst!$R$4:$W$4,0))))</f>
        <v>0</v>
      </c>
      <c r="Q18">
        <f ca="1">IF($C18-Q$1&lt;År1,0,P17*(1-VLOOKUP($A18,[1]Hugst!$R$5:$W$9,MATCH(ROUNDUP((Q$1)/10,0)*10,[1]Hugst!$R$4:$W$4,0))))</f>
        <v>0</v>
      </c>
      <c r="R18">
        <f ca="1">IF($C18-R$1&lt;År1,0,Q17*(1-VLOOKUP($A18,[1]Hugst!$R$5:$W$9,MATCH(ROUNDUP((R$1)/10,0)*10,[1]Hugst!$R$4:$W$4,0))))</f>
        <v>0</v>
      </c>
      <c r="S18">
        <f ca="1">IF($C18-S$1&lt;År1,0,R17*(1-VLOOKUP($A18,[1]Hugst!$R$5:$W$9,MATCH(ROUNDUP((S$1)/10,0)*10,[1]Hugst!$R$4:$W$4,0))))</f>
        <v>0</v>
      </c>
      <c r="T18">
        <f ca="1">IF($C18-T$1&lt;År1,0,S17*(1-VLOOKUP($A18,[1]Hugst!$R$5:$W$9,MATCH(ROUNDUP((T$1)/10,0)*10,[1]Hugst!$R$4:$W$4,0))))</f>
        <v>0</v>
      </c>
      <c r="U18">
        <f ca="1">IF($C18-U$1&lt;År1,0,T17*(1-VLOOKUP($A18,[1]Hugst!$R$5:$W$9,MATCH(ROUNDUP((U$1)/10,0)*10,[1]Hugst!$R$4:$W$4,0))))</f>
        <v>0</v>
      </c>
      <c r="V18">
        <f ca="1">IF($C18-V$1&lt;År1,0,U17*(1-VLOOKUP($A18,[1]Hugst!$R$5:$W$9,MATCH(ROUNDUP((V$1)/10,0)*10,[1]Hugst!$R$4:$W$4,0))))</f>
        <v>0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0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>
        <f ca="1">IF($C19-G$1&lt;År1,0,F18*(1-VLOOKUP($A19,[1]Hugst!$R$5:$W$9,MATCH(ROUNDUP((G$1)/10,0)*10,[1]Hugst!$R$4:$W$4,0))))</f>
        <v>0</v>
      </c>
      <c r="H19">
        <f ca="1">IF($C19-H$1&lt;År1,0,G18*(1-VLOOKUP($A19,[1]Hugst!$R$5:$W$9,MATCH(ROUNDUP((H$1)/10,0)*10,[1]Hugst!$R$4:$W$4,0))))</f>
        <v>0</v>
      </c>
      <c r="I19">
        <f ca="1">IF($C19-I$1&lt;År1,0,H18*(1-VLOOKUP($A19,[1]Hugst!$R$5:$W$9,MATCH(ROUNDUP((I$1)/10,0)*10,[1]Hugst!$R$4:$W$4,0))))</f>
        <v>0</v>
      </c>
      <c r="J19">
        <f ca="1">IF($C19-J$1&lt;År1,0,I18*(1-VLOOKUP($A19,[1]Hugst!$R$5:$W$9,MATCH(ROUNDUP((J$1)/10,0)*10,[1]Hugst!$R$4:$W$4,0))))</f>
        <v>0</v>
      </c>
      <c r="K19">
        <f ca="1">IF($C19-K$1&lt;År1,0,J18*(1-VLOOKUP($A19,[1]Hugst!$R$5:$W$9,MATCH(ROUNDUP((K$1)/10,0)*10,[1]Hugst!$R$4:$W$4,0))))</f>
        <v>0</v>
      </c>
      <c r="L19">
        <f ca="1">IF($C19-L$1&lt;År1,0,K18*(1-VLOOKUP($A19,[1]Hugst!$R$5:$W$9,MATCH(ROUNDUP((L$1)/10,0)*10,[1]Hugst!$R$4:$W$4,0))))</f>
        <v>0</v>
      </c>
      <c r="M19">
        <f ca="1">IF($C19-M$1&lt;År1,0,L18*(1-VLOOKUP($A19,[1]Hugst!$R$5:$W$9,MATCH(ROUNDUP((M$1)/10,0)*10,[1]Hugst!$R$4:$W$4,0))))</f>
        <v>0</v>
      </c>
      <c r="N19">
        <f ca="1">IF($C19-N$1&lt;År1,0,M18*(1-VLOOKUP($A19,[1]Hugst!$R$5:$W$9,MATCH(ROUNDUP((N$1)/10,0)*10,[1]Hugst!$R$4:$W$4,0))))</f>
        <v>0</v>
      </c>
      <c r="O19">
        <f ca="1">IF($C19-O$1&lt;År1,0,N18*(1-VLOOKUP($A19,[1]Hugst!$R$5:$W$9,MATCH(ROUNDUP((O$1)/10,0)*10,[1]Hugst!$R$4:$W$4,0))))</f>
        <v>0</v>
      </c>
      <c r="P19">
        <f ca="1">IF($C19-P$1&lt;År1,0,O18*(1-VLOOKUP($A19,[1]Hugst!$R$5:$W$9,MATCH(ROUNDUP((P$1)/10,0)*10,[1]Hugst!$R$4:$W$4,0))))</f>
        <v>0</v>
      </c>
      <c r="Q19">
        <f ca="1">IF($C19-Q$1&lt;År1,0,P18*(1-VLOOKUP($A19,[1]Hugst!$R$5:$W$9,MATCH(ROUNDUP((Q$1)/10,0)*10,[1]Hugst!$R$4:$W$4,0))))</f>
        <v>0</v>
      </c>
      <c r="R19">
        <f ca="1">IF($C19-R$1&lt;År1,0,Q18*(1-VLOOKUP($A19,[1]Hugst!$R$5:$W$9,MATCH(ROUNDUP((R$1)/10,0)*10,[1]Hugst!$R$4:$W$4,0))))</f>
        <v>0</v>
      </c>
      <c r="S19">
        <f ca="1">IF($C19-S$1&lt;År1,0,R18*(1-VLOOKUP($A19,[1]Hugst!$R$5:$W$9,MATCH(ROUNDUP((S$1)/10,0)*10,[1]Hugst!$R$4:$W$4,0))))</f>
        <v>0</v>
      </c>
      <c r="T19">
        <f ca="1">IF($C19-T$1&lt;År1,0,S18*(1-VLOOKUP($A19,[1]Hugst!$R$5:$W$9,MATCH(ROUNDUP((T$1)/10,0)*10,[1]Hugst!$R$4:$W$4,0))))</f>
        <v>0</v>
      </c>
      <c r="U19">
        <f ca="1">IF($C19-U$1&lt;År1,0,T18*(1-VLOOKUP($A19,[1]Hugst!$R$5:$W$9,MATCH(ROUNDUP((U$1)/10,0)*10,[1]Hugst!$R$4:$W$4,0))))</f>
        <v>0</v>
      </c>
      <c r="V19">
        <f ca="1">IF($C19-V$1&lt;År1,0,U18*(1-VLOOKUP($A19,[1]Hugst!$R$5:$W$9,MATCH(ROUNDUP((V$1)/10,0)*10,[1]Hugst!$R$4:$W$4,0))))</f>
        <v>0</v>
      </c>
      <c r="W19">
        <f ca="1">IF($C19-W$1&lt;År1,0,V18*(1-VLOOKUP($A19,[1]Hugst!$R$5:$W$9,MATCH(ROUNDUP((W$1)/10,0)*10,[1]Hugst!$R$4:$W$4,0))))</f>
        <v>0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0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>
        <f ca="1">IF($C20-G$1&lt;År1,0,F19*(1-VLOOKUP($A20,[1]Hugst!$R$5:$W$9,MATCH(ROUNDUP((G$1)/10,0)*10,[1]Hugst!$R$4:$W$4,0))))</f>
        <v>0</v>
      </c>
      <c r="H20">
        <f ca="1">IF($C20-H$1&lt;År1,0,G19*(1-VLOOKUP($A20,[1]Hugst!$R$5:$W$9,MATCH(ROUNDUP((H$1)/10,0)*10,[1]Hugst!$R$4:$W$4,0))))</f>
        <v>0</v>
      </c>
      <c r="I20">
        <f ca="1">IF($C20-I$1&lt;År1,0,H19*(1-VLOOKUP($A20,[1]Hugst!$R$5:$W$9,MATCH(ROUNDUP((I$1)/10,0)*10,[1]Hugst!$R$4:$W$4,0))))</f>
        <v>0</v>
      </c>
      <c r="J20">
        <f ca="1">IF($C20-J$1&lt;År1,0,I19*(1-VLOOKUP($A20,[1]Hugst!$R$5:$W$9,MATCH(ROUNDUP((J$1)/10,0)*10,[1]Hugst!$R$4:$W$4,0))))</f>
        <v>0</v>
      </c>
      <c r="K20">
        <f ca="1">IF($C20-K$1&lt;År1,0,J19*(1-VLOOKUP($A20,[1]Hugst!$R$5:$W$9,MATCH(ROUNDUP((K$1)/10,0)*10,[1]Hugst!$R$4:$W$4,0))))</f>
        <v>0</v>
      </c>
      <c r="L20">
        <f ca="1">IF($C20-L$1&lt;År1,0,K19*(1-VLOOKUP($A20,[1]Hugst!$R$5:$W$9,MATCH(ROUNDUP((L$1)/10,0)*10,[1]Hugst!$R$4:$W$4,0))))</f>
        <v>0</v>
      </c>
      <c r="M20">
        <f ca="1">IF($C20-M$1&lt;År1,0,L19*(1-VLOOKUP($A20,[1]Hugst!$R$5:$W$9,MATCH(ROUNDUP((M$1)/10,0)*10,[1]Hugst!$R$4:$W$4,0))))</f>
        <v>0</v>
      </c>
      <c r="N20">
        <f ca="1">IF($C20-N$1&lt;År1,0,M19*(1-VLOOKUP($A20,[1]Hugst!$R$5:$W$9,MATCH(ROUNDUP((N$1)/10,0)*10,[1]Hugst!$R$4:$W$4,0))))</f>
        <v>0</v>
      </c>
      <c r="O20">
        <f ca="1">IF($C20-O$1&lt;År1,0,N19*(1-VLOOKUP($A20,[1]Hugst!$R$5:$W$9,MATCH(ROUNDUP((O$1)/10,0)*10,[1]Hugst!$R$4:$W$4,0))))</f>
        <v>0</v>
      </c>
      <c r="P20">
        <f ca="1">IF($C20-P$1&lt;År1,0,O19*(1-VLOOKUP($A20,[1]Hugst!$R$5:$W$9,MATCH(ROUNDUP((P$1)/10,0)*10,[1]Hugst!$R$4:$W$4,0))))</f>
        <v>0</v>
      </c>
      <c r="Q20">
        <f ca="1">IF($C20-Q$1&lt;År1,0,P19*(1-VLOOKUP($A20,[1]Hugst!$R$5:$W$9,MATCH(ROUNDUP((Q$1)/10,0)*10,[1]Hugst!$R$4:$W$4,0))))</f>
        <v>0</v>
      </c>
      <c r="R20">
        <f ca="1">IF($C20-R$1&lt;År1,0,Q19*(1-VLOOKUP($A20,[1]Hugst!$R$5:$W$9,MATCH(ROUNDUP((R$1)/10,0)*10,[1]Hugst!$R$4:$W$4,0))))</f>
        <v>0</v>
      </c>
      <c r="S20">
        <f ca="1">IF($C20-S$1&lt;År1,0,R19*(1-VLOOKUP($A20,[1]Hugst!$R$5:$W$9,MATCH(ROUNDUP((S$1)/10,0)*10,[1]Hugst!$R$4:$W$4,0))))</f>
        <v>0</v>
      </c>
      <c r="T20">
        <f ca="1">IF($C20-T$1&lt;År1,0,S19*(1-VLOOKUP($A20,[1]Hugst!$R$5:$W$9,MATCH(ROUNDUP((T$1)/10,0)*10,[1]Hugst!$R$4:$W$4,0))))</f>
        <v>0</v>
      </c>
      <c r="U20">
        <f ca="1">IF($C20-U$1&lt;År1,0,T19*(1-VLOOKUP($A20,[1]Hugst!$R$5:$W$9,MATCH(ROUNDUP((U$1)/10,0)*10,[1]Hugst!$R$4:$W$4,0))))</f>
        <v>0</v>
      </c>
      <c r="V20">
        <f ca="1">IF($C20-V$1&lt;År1,0,U19*(1-VLOOKUP($A20,[1]Hugst!$R$5:$W$9,MATCH(ROUNDUP((V$1)/10,0)*10,[1]Hugst!$R$4:$W$4,0))))</f>
        <v>0</v>
      </c>
      <c r="W20">
        <f ca="1">IF($C20-W$1&lt;År1,0,V19*(1-VLOOKUP($A20,[1]Hugst!$R$5:$W$9,MATCH(ROUNDUP((W$1)/10,0)*10,[1]Hugst!$R$4:$W$4,0))))</f>
        <v>0</v>
      </c>
      <c r="X20">
        <f ca="1">IF($C20-X$1&lt;År1,0,W19*(1-VLOOKUP($A20,[1]Hugst!$R$5:$W$9,MATCH(ROUNDUP((X$1)/10,0)*10,[1]Hugst!$R$4:$W$4,0))))</f>
        <v>0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0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>
        <f ca="1">IF($C21-G$1&lt;År1,0,F20*(1-VLOOKUP($A21,[1]Hugst!$R$5:$W$9,MATCH(ROUNDUP((G$1)/10,0)*10,[1]Hugst!$R$4:$W$4,0))))</f>
        <v>0</v>
      </c>
      <c r="H21">
        <f ca="1">IF($C21-H$1&lt;År1,0,G20*(1-VLOOKUP($A21,[1]Hugst!$R$5:$W$9,MATCH(ROUNDUP((H$1)/10,0)*10,[1]Hugst!$R$4:$W$4,0))))</f>
        <v>0</v>
      </c>
      <c r="I21">
        <f ca="1">IF($C21-I$1&lt;År1,0,H20*(1-VLOOKUP($A21,[1]Hugst!$R$5:$W$9,MATCH(ROUNDUP((I$1)/10,0)*10,[1]Hugst!$R$4:$W$4,0))))</f>
        <v>0</v>
      </c>
      <c r="J21">
        <f ca="1">IF($C21-J$1&lt;År1,0,I20*(1-VLOOKUP($A21,[1]Hugst!$R$5:$W$9,MATCH(ROUNDUP((J$1)/10,0)*10,[1]Hugst!$R$4:$W$4,0))))</f>
        <v>0</v>
      </c>
      <c r="K21">
        <f ca="1">IF($C21-K$1&lt;År1,0,J20*(1-VLOOKUP($A21,[1]Hugst!$R$5:$W$9,MATCH(ROUNDUP((K$1)/10,0)*10,[1]Hugst!$R$4:$W$4,0))))</f>
        <v>0</v>
      </c>
      <c r="L21">
        <f ca="1">IF($C21-L$1&lt;År1,0,K20*(1-VLOOKUP($A21,[1]Hugst!$R$5:$W$9,MATCH(ROUNDUP((L$1)/10,0)*10,[1]Hugst!$R$4:$W$4,0))))</f>
        <v>0</v>
      </c>
      <c r="M21">
        <f ca="1">IF($C21-M$1&lt;År1,0,L20*(1-VLOOKUP($A21,[1]Hugst!$R$5:$W$9,MATCH(ROUNDUP((M$1)/10,0)*10,[1]Hugst!$R$4:$W$4,0))))</f>
        <v>0</v>
      </c>
      <c r="N21">
        <f ca="1">IF($C21-N$1&lt;År1,0,M20*(1-VLOOKUP($A21,[1]Hugst!$R$5:$W$9,MATCH(ROUNDUP((N$1)/10,0)*10,[1]Hugst!$R$4:$W$4,0))))</f>
        <v>0</v>
      </c>
      <c r="O21">
        <f ca="1">IF($C21-O$1&lt;År1,0,N20*(1-VLOOKUP($A21,[1]Hugst!$R$5:$W$9,MATCH(ROUNDUP((O$1)/10,0)*10,[1]Hugst!$R$4:$W$4,0))))</f>
        <v>0</v>
      </c>
      <c r="P21">
        <f ca="1">IF($C21-P$1&lt;År1,0,O20*(1-VLOOKUP($A21,[1]Hugst!$R$5:$W$9,MATCH(ROUNDUP((P$1)/10,0)*10,[1]Hugst!$R$4:$W$4,0))))</f>
        <v>0</v>
      </c>
      <c r="Q21">
        <f ca="1">IF($C21-Q$1&lt;År1,0,P20*(1-VLOOKUP($A21,[1]Hugst!$R$5:$W$9,MATCH(ROUNDUP((Q$1)/10,0)*10,[1]Hugst!$R$4:$W$4,0))))</f>
        <v>0</v>
      </c>
      <c r="R21">
        <f ca="1">IF($C21-R$1&lt;År1,0,Q20*(1-VLOOKUP($A21,[1]Hugst!$R$5:$W$9,MATCH(ROUNDUP((R$1)/10,0)*10,[1]Hugst!$R$4:$W$4,0))))</f>
        <v>0</v>
      </c>
      <c r="S21">
        <f ca="1">IF($C21-S$1&lt;År1,0,R20*(1-VLOOKUP($A21,[1]Hugst!$R$5:$W$9,MATCH(ROUNDUP((S$1)/10,0)*10,[1]Hugst!$R$4:$W$4,0))))</f>
        <v>0</v>
      </c>
      <c r="T21">
        <f ca="1">IF($C21-T$1&lt;År1,0,S20*(1-VLOOKUP($A21,[1]Hugst!$R$5:$W$9,MATCH(ROUNDUP((T$1)/10,0)*10,[1]Hugst!$R$4:$W$4,0))))</f>
        <v>0</v>
      </c>
      <c r="U21">
        <f ca="1">IF($C21-U$1&lt;År1,0,T20*(1-VLOOKUP($A21,[1]Hugst!$R$5:$W$9,MATCH(ROUNDUP((U$1)/10,0)*10,[1]Hugst!$R$4:$W$4,0))))</f>
        <v>0</v>
      </c>
      <c r="V21">
        <f ca="1">IF($C21-V$1&lt;År1,0,U20*(1-VLOOKUP($A21,[1]Hugst!$R$5:$W$9,MATCH(ROUNDUP((V$1)/10,0)*10,[1]Hugst!$R$4:$W$4,0))))</f>
        <v>0</v>
      </c>
      <c r="W21">
        <f ca="1">IF($C21-W$1&lt;År1,0,V20*(1-VLOOKUP($A21,[1]Hugst!$R$5:$W$9,MATCH(ROUNDUP((W$1)/10,0)*10,[1]Hugst!$R$4:$W$4,0))))</f>
        <v>0</v>
      </c>
      <c r="X21">
        <f ca="1">IF($C21-X$1&lt;År1,0,W20*(1-VLOOKUP($A21,[1]Hugst!$R$5:$W$9,MATCH(ROUNDUP((X$1)/10,0)*10,[1]Hugst!$R$4:$W$4,0))))</f>
        <v>0</v>
      </c>
      <c r="Y21">
        <f ca="1">IF($C21-Y$1&lt;År1,0,X20*(1-VLOOKUP($A21,[1]Hugst!$R$5:$W$9,MATCH(ROUNDUP((Y$1)/10,0)*10,[1]Hugst!$R$4:$W$4,0))))</f>
        <v>0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0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>
        <f ca="1">IF($C22-G$1&lt;År1,0,F21*(1-VLOOKUP($A22,[1]Hugst!$R$5:$W$9,MATCH(ROUNDUP((G$1)/10,0)*10,[1]Hugst!$R$4:$W$4,0))))</f>
        <v>0</v>
      </c>
      <c r="H22">
        <f ca="1">IF($C22-H$1&lt;År1,0,G21*(1-VLOOKUP($A22,[1]Hugst!$R$5:$W$9,MATCH(ROUNDUP((H$1)/10,0)*10,[1]Hugst!$R$4:$W$4,0))))</f>
        <v>0</v>
      </c>
      <c r="I22">
        <f ca="1">IF($C22-I$1&lt;År1,0,H21*(1-VLOOKUP($A22,[1]Hugst!$R$5:$W$9,MATCH(ROUNDUP((I$1)/10,0)*10,[1]Hugst!$R$4:$W$4,0))))</f>
        <v>0</v>
      </c>
      <c r="J22">
        <f ca="1">IF($C22-J$1&lt;År1,0,I21*(1-VLOOKUP($A22,[1]Hugst!$R$5:$W$9,MATCH(ROUNDUP((J$1)/10,0)*10,[1]Hugst!$R$4:$W$4,0))))</f>
        <v>0</v>
      </c>
      <c r="K22">
        <f ca="1">IF($C22-K$1&lt;År1,0,J21*(1-VLOOKUP($A22,[1]Hugst!$R$5:$W$9,MATCH(ROUNDUP((K$1)/10,0)*10,[1]Hugst!$R$4:$W$4,0))))</f>
        <v>0</v>
      </c>
      <c r="L22">
        <f ca="1">IF($C22-L$1&lt;År1,0,K21*(1-VLOOKUP($A22,[1]Hugst!$R$5:$W$9,MATCH(ROUNDUP((L$1)/10,0)*10,[1]Hugst!$R$4:$W$4,0))))</f>
        <v>0</v>
      </c>
      <c r="M22">
        <f ca="1">IF($C22-M$1&lt;År1,0,L21*(1-VLOOKUP($A22,[1]Hugst!$R$5:$W$9,MATCH(ROUNDUP((M$1)/10,0)*10,[1]Hugst!$R$4:$W$4,0))))</f>
        <v>0</v>
      </c>
      <c r="N22">
        <f ca="1">IF($C22-N$1&lt;År1,0,M21*(1-VLOOKUP($A22,[1]Hugst!$R$5:$W$9,MATCH(ROUNDUP((N$1)/10,0)*10,[1]Hugst!$R$4:$W$4,0))))</f>
        <v>0</v>
      </c>
      <c r="O22">
        <f ca="1">IF($C22-O$1&lt;År1,0,N21*(1-VLOOKUP($A22,[1]Hugst!$R$5:$W$9,MATCH(ROUNDUP((O$1)/10,0)*10,[1]Hugst!$R$4:$W$4,0))))</f>
        <v>0</v>
      </c>
      <c r="P22">
        <f ca="1">IF($C22-P$1&lt;År1,0,O21*(1-VLOOKUP($A22,[1]Hugst!$R$5:$W$9,MATCH(ROUNDUP((P$1)/10,0)*10,[1]Hugst!$R$4:$W$4,0))))</f>
        <v>0</v>
      </c>
      <c r="Q22">
        <f ca="1">IF($C22-Q$1&lt;År1,0,P21*(1-VLOOKUP($A22,[1]Hugst!$R$5:$W$9,MATCH(ROUNDUP((Q$1)/10,0)*10,[1]Hugst!$R$4:$W$4,0))))</f>
        <v>0</v>
      </c>
      <c r="R22">
        <f ca="1">IF($C22-R$1&lt;År1,0,Q21*(1-VLOOKUP($A22,[1]Hugst!$R$5:$W$9,MATCH(ROUNDUP((R$1)/10,0)*10,[1]Hugst!$R$4:$W$4,0))))</f>
        <v>0</v>
      </c>
      <c r="S22">
        <f ca="1">IF($C22-S$1&lt;År1,0,R21*(1-VLOOKUP($A22,[1]Hugst!$R$5:$W$9,MATCH(ROUNDUP((S$1)/10,0)*10,[1]Hugst!$R$4:$W$4,0))))</f>
        <v>0</v>
      </c>
      <c r="T22">
        <f ca="1">IF($C22-T$1&lt;År1,0,S21*(1-VLOOKUP($A22,[1]Hugst!$R$5:$W$9,MATCH(ROUNDUP((T$1)/10,0)*10,[1]Hugst!$R$4:$W$4,0))))</f>
        <v>0</v>
      </c>
      <c r="U22">
        <f ca="1">IF($C22-U$1&lt;År1,0,T21*(1-VLOOKUP($A22,[1]Hugst!$R$5:$W$9,MATCH(ROUNDUP((U$1)/10,0)*10,[1]Hugst!$R$4:$W$4,0))))</f>
        <v>0</v>
      </c>
      <c r="V22">
        <f ca="1">IF($C22-V$1&lt;År1,0,U21*(1-VLOOKUP($A22,[1]Hugst!$R$5:$W$9,MATCH(ROUNDUP((V$1)/10,0)*10,[1]Hugst!$R$4:$W$4,0))))</f>
        <v>0</v>
      </c>
      <c r="W22">
        <f ca="1">IF($C22-W$1&lt;År1,0,V21*(1-VLOOKUP($A22,[1]Hugst!$R$5:$W$9,MATCH(ROUNDUP((W$1)/10,0)*10,[1]Hugst!$R$4:$W$4,0))))</f>
        <v>0</v>
      </c>
      <c r="X22">
        <f ca="1">IF($C22-X$1&lt;År1,0,W21*(1-VLOOKUP($A22,[1]Hugst!$R$5:$W$9,MATCH(ROUNDUP((X$1)/10,0)*10,[1]Hugst!$R$4:$W$4,0))))</f>
        <v>0</v>
      </c>
      <c r="Y22">
        <f ca="1">IF($C22-Y$1&lt;År1,0,X21*(1-VLOOKUP($A22,[1]Hugst!$R$5:$W$9,MATCH(ROUNDUP((Y$1)/10,0)*10,[1]Hugst!$R$4:$W$4,0))))</f>
        <v>0</v>
      </c>
      <c r="Z22">
        <f ca="1">IF($C22-Z$1&lt;År1,0,Y21*(1-VLOOKUP($A22,[1]Hugst!$R$5:$W$9,MATCH(ROUNDUP((Z$1)/10,0)*10,[1]Hugst!$R$4:$W$4,0))))</f>
        <v>0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0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>
        <f ca="1">IF($C23-G$1&lt;År1,0,F22*(1-VLOOKUP($A23,[1]Hugst!$R$5:$W$9,MATCH(ROUNDUP((G$1)/10,0)*10,[1]Hugst!$R$4:$W$4,0))))</f>
        <v>0</v>
      </c>
      <c r="H23">
        <f ca="1">IF($C23-H$1&lt;År1,0,G22*(1-VLOOKUP($A23,[1]Hugst!$R$5:$W$9,MATCH(ROUNDUP((H$1)/10,0)*10,[1]Hugst!$R$4:$W$4,0))))</f>
        <v>0</v>
      </c>
      <c r="I23">
        <f ca="1">IF($C23-I$1&lt;År1,0,H22*(1-VLOOKUP($A23,[1]Hugst!$R$5:$W$9,MATCH(ROUNDUP((I$1)/10,0)*10,[1]Hugst!$R$4:$W$4,0))))</f>
        <v>0</v>
      </c>
      <c r="J23">
        <f ca="1">IF($C23-J$1&lt;År1,0,I22*(1-VLOOKUP($A23,[1]Hugst!$R$5:$W$9,MATCH(ROUNDUP((J$1)/10,0)*10,[1]Hugst!$R$4:$W$4,0))))</f>
        <v>0</v>
      </c>
      <c r="K23">
        <f ca="1">IF($C23-K$1&lt;År1,0,J22*(1-VLOOKUP($A23,[1]Hugst!$R$5:$W$9,MATCH(ROUNDUP((K$1)/10,0)*10,[1]Hugst!$R$4:$W$4,0))))</f>
        <v>0</v>
      </c>
      <c r="L23">
        <f ca="1">IF($C23-L$1&lt;År1,0,K22*(1-VLOOKUP($A23,[1]Hugst!$R$5:$W$9,MATCH(ROUNDUP((L$1)/10,0)*10,[1]Hugst!$R$4:$W$4,0))))</f>
        <v>0</v>
      </c>
      <c r="M23">
        <f ca="1">IF($C23-M$1&lt;År1,0,L22*(1-VLOOKUP($A23,[1]Hugst!$R$5:$W$9,MATCH(ROUNDUP((M$1)/10,0)*10,[1]Hugst!$R$4:$W$4,0))))</f>
        <v>0</v>
      </c>
      <c r="N23">
        <f ca="1">IF($C23-N$1&lt;År1,0,M22*(1-VLOOKUP($A23,[1]Hugst!$R$5:$W$9,MATCH(ROUNDUP((N$1)/10,0)*10,[1]Hugst!$R$4:$W$4,0))))</f>
        <v>0</v>
      </c>
      <c r="O23">
        <f ca="1">IF($C23-O$1&lt;År1,0,N22*(1-VLOOKUP($A23,[1]Hugst!$R$5:$W$9,MATCH(ROUNDUP((O$1)/10,0)*10,[1]Hugst!$R$4:$W$4,0))))</f>
        <v>0</v>
      </c>
      <c r="P23">
        <f ca="1">IF($C23-P$1&lt;År1,0,O22*(1-VLOOKUP($A23,[1]Hugst!$R$5:$W$9,MATCH(ROUNDUP((P$1)/10,0)*10,[1]Hugst!$R$4:$W$4,0))))</f>
        <v>0</v>
      </c>
      <c r="Q23">
        <f ca="1">IF($C23-Q$1&lt;År1,0,P22*(1-VLOOKUP($A23,[1]Hugst!$R$5:$W$9,MATCH(ROUNDUP((Q$1)/10,0)*10,[1]Hugst!$R$4:$W$4,0))))</f>
        <v>0</v>
      </c>
      <c r="R23">
        <f ca="1">IF($C23-R$1&lt;År1,0,Q22*(1-VLOOKUP($A23,[1]Hugst!$R$5:$W$9,MATCH(ROUNDUP((R$1)/10,0)*10,[1]Hugst!$R$4:$W$4,0))))</f>
        <v>0</v>
      </c>
      <c r="S23">
        <f ca="1">IF($C23-S$1&lt;År1,0,R22*(1-VLOOKUP($A23,[1]Hugst!$R$5:$W$9,MATCH(ROUNDUP((S$1)/10,0)*10,[1]Hugst!$R$4:$W$4,0))))</f>
        <v>0</v>
      </c>
      <c r="T23">
        <f ca="1">IF($C23-T$1&lt;År1,0,S22*(1-VLOOKUP($A23,[1]Hugst!$R$5:$W$9,MATCH(ROUNDUP((T$1)/10,0)*10,[1]Hugst!$R$4:$W$4,0))))</f>
        <v>0</v>
      </c>
      <c r="U23">
        <f ca="1">IF($C23-U$1&lt;År1,0,T22*(1-VLOOKUP($A23,[1]Hugst!$R$5:$W$9,MATCH(ROUNDUP((U$1)/10,0)*10,[1]Hugst!$R$4:$W$4,0))))</f>
        <v>0</v>
      </c>
      <c r="V23">
        <f ca="1">IF($C23-V$1&lt;År1,0,U22*(1-VLOOKUP($A23,[1]Hugst!$R$5:$W$9,MATCH(ROUNDUP((V$1)/10,0)*10,[1]Hugst!$R$4:$W$4,0))))</f>
        <v>0</v>
      </c>
      <c r="W23">
        <f ca="1">IF($C23-W$1&lt;År1,0,V22*(1-VLOOKUP($A23,[1]Hugst!$R$5:$W$9,MATCH(ROUNDUP((W$1)/10,0)*10,[1]Hugst!$R$4:$W$4,0))))</f>
        <v>0</v>
      </c>
      <c r="X23">
        <f ca="1">IF($C23-X$1&lt;År1,0,W22*(1-VLOOKUP($A23,[1]Hugst!$R$5:$W$9,MATCH(ROUNDUP((X$1)/10,0)*10,[1]Hugst!$R$4:$W$4,0))))</f>
        <v>0</v>
      </c>
      <c r="Y23">
        <f ca="1">IF($C23-Y$1&lt;År1,0,X22*(1-VLOOKUP($A23,[1]Hugst!$R$5:$W$9,MATCH(ROUNDUP((Y$1)/10,0)*10,[1]Hugst!$R$4:$W$4,0))))</f>
        <v>0</v>
      </c>
      <c r="Z23">
        <f ca="1">IF($C23-Z$1&lt;År1,0,Y22*(1-VLOOKUP($A23,[1]Hugst!$R$5:$W$9,MATCH(ROUNDUP((Z$1)/10,0)*10,[1]Hugst!$R$4:$W$4,0))))</f>
        <v>0</v>
      </c>
      <c r="AA23">
        <f ca="1">IF($C23-AA$1&lt;År1,0,Z22*(1-VLOOKUP($A23,[1]Hugst!$R$5:$W$9,MATCH(ROUNDUP((AA$1)/10,0)*10,[1]Hugst!$R$4:$W$4,0))))</f>
        <v>0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0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>
        <f ca="1">IF($C24-G$1&lt;År1,0,F23*(1-VLOOKUP($A24,[1]Hugst!$R$5:$W$9,MATCH(ROUNDUP((G$1)/10,0)*10,[1]Hugst!$R$4:$W$4,0))))</f>
        <v>0</v>
      </c>
      <c r="H24">
        <f ca="1">IF($C24-H$1&lt;År1,0,G23*(1-VLOOKUP($A24,[1]Hugst!$R$5:$W$9,MATCH(ROUNDUP((H$1)/10,0)*10,[1]Hugst!$R$4:$W$4,0))))</f>
        <v>0</v>
      </c>
      <c r="I24">
        <f ca="1">IF($C24-I$1&lt;År1,0,H23*(1-VLOOKUP($A24,[1]Hugst!$R$5:$W$9,MATCH(ROUNDUP((I$1)/10,0)*10,[1]Hugst!$R$4:$W$4,0))))</f>
        <v>0</v>
      </c>
      <c r="J24">
        <f ca="1">IF($C24-J$1&lt;År1,0,I23*(1-VLOOKUP($A24,[1]Hugst!$R$5:$W$9,MATCH(ROUNDUP((J$1)/10,0)*10,[1]Hugst!$R$4:$W$4,0))))</f>
        <v>0</v>
      </c>
      <c r="K24">
        <f ca="1">IF($C24-K$1&lt;År1,0,J23*(1-VLOOKUP($A24,[1]Hugst!$R$5:$W$9,MATCH(ROUNDUP((K$1)/10,0)*10,[1]Hugst!$R$4:$W$4,0))))</f>
        <v>0</v>
      </c>
      <c r="L24">
        <f ca="1">IF($C24-L$1&lt;År1,0,K23*(1-VLOOKUP($A24,[1]Hugst!$R$5:$W$9,MATCH(ROUNDUP((L$1)/10,0)*10,[1]Hugst!$R$4:$W$4,0))))</f>
        <v>0</v>
      </c>
      <c r="M24">
        <f ca="1">IF($C24-M$1&lt;År1,0,L23*(1-VLOOKUP($A24,[1]Hugst!$R$5:$W$9,MATCH(ROUNDUP((M$1)/10,0)*10,[1]Hugst!$R$4:$W$4,0))))</f>
        <v>0</v>
      </c>
      <c r="N24">
        <f ca="1">IF($C24-N$1&lt;År1,0,M23*(1-VLOOKUP($A24,[1]Hugst!$R$5:$W$9,MATCH(ROUNDUP((N$1)/10,0)*10,[1]Hugst!$R$4:$W$4,0))))</f>
        <v>0</v>
      </c>
      <c r="O24">
        <f ca="1">IF($C24-O$1&lt;År1,0,N23*(1-VLOOKUP($A24,[1]Hugst!$R$5:$W$9,MATCH(ROUNDUP((O$1)/10,0)*10,[1]Hugst!$R$4:$W$4,0))))</f>
        <v>0</v>
      </c>
      <c r="P24">
        <f ca="1">IF($C24-P$1&lt;År1,0,O23*(1-VLOOKUP($A24,[1]Hugst!$R$5:$W$9,MATCH(ROUNDUP((P$1)/10,0)*10,[1]Hugst!$R$4:$W$4,0))))</f>
        <v>0</v>
      </c>
      <c r="Q24">
        <f ca="1">IF($C24-Q$1&lt;År1,0,P23*(1-VLOOKUP($A24,[1]Hugst!$R$5:$W$9,MATCH(ROUNDUP((Q$1)/10,0)*10,[1]Hugst!$R$4:$W$4,0))))</f>
        <v>0</v>
      </c>
      <c r="R24">
        <f ca="1">IF($C24-R$1&lt;År1,0,Q23*(1-VLOOKUP($A24,[1]Hugst!$R$5:$W$9,MATCH(ROUNDUP((R$1)/10,0)*10,[1]Hugst!$R$4:$W$4,0))))</f>
        <v>0</v>
      </c>
      <c r="S24">
        <f ca="1">IF($C24-S$1&lt;År1,0,R23*(1-VLOOKUP($A24,[1]Hugst!$R$5:$W$9,MATCH(ROUNDUP((S$1)/10,0)*10,[1]Hugst!$R$4:$W$4,0))))</f>
        <v>0</v>
      </c>
      <c r="T24">
        <f ca="1">IF($C24-T$1&lt;År1,0,S23*(1-VLOOKUP($A24,[1]Hugst!$R$5:$W$9,MATCH(ROUNDUP((T$1)/10,0)*10,[1]Hugst!$R$4:$W$4,0))))</f>
        <v>0</v>
      </c>
      <c r="U24">
        <f ca="1">IF($C24-U$1&lt;År1,0,T23*(1-VLOOKUP($A24,[1]Hugst!$R$5:$W$9,MATCH(ROUNDUP((U$1)/10,0)*10,[1]Hugst!$R$4:$W$4,0))))</f>
        <v>0</v>
      </c>
      <c r="V24">
        <f ca="1">IF($C24-V$1&lt;År1,0,U23*(1-VLOOKUP($A24,[1]Hugst!$R$5:$W$9,MATCH(ROUNDUP((V$1)/10,0)*10,[1]Hugst!$R$4:$W$4,0))))</f>
        <v>0</v>
      </c>
      <c r="W24">
        <f ca="1">IF($C24-W$1&lt;År1,0,V23*(1-VLOOKUP($A24,[1]Hugst!$R$5:$W$9,MATCH(ROUNDUP((W$1)/10,0)*10,[1]Hugst!$R$4:$W$4,0))))</f>
        <v>0</v>
      </c>
      <c r="X24">
        <f ca="1">IF($C24-X$1&lt;År1,0,W23*(1-VLOOKUP($A24,[1]Hugst!$R$5:$W$9,MATCH(ROUNDUP((X$1)/10,0)*10,[1]Hugst!$R$4:$W$4,0))))</f>
        <v>0</v>
      </c>
      <c r="Y24">
        <f ca="1">IF($C24-Y$1&lt;År1,0,X23*(1-VLOOKUP($A24,[1]Hugst!$R$5:$W$9,MATCH(ROUNDUP((Y$1)/10,0)*10,[1]Hugst!$R$4:$W$4,0))))</f>
        <v>0</v>
      </c>
      <c r="Z24">
        <f ca="1">IF($C24-Z$1&lt;År1,0,Y23*(1-VLOOKUP($A24,[1]Hugst!$R$5:$W$9,MATCH(ROUNDUP((Z$1)/10,0)*10,[1]Hugst!$R$4:$W$4,0))))</f>
        <v>0</v>
      </c>
      <c r="AA24">
        <f ca="1">IF($C24-AA$1&lt;År1,0,Z23*(1-VLOOKUP($A24,[1]Hugst!$R$5:$W$9,MATCH(ROUNDUP((AA$1)/10,0)*10,[1]Hugst!$R$4:$W$4,0))))</f>
        <v>0</v>
      </c>
      <c r="AB24">
        <f ca="1">IF($C24-AB$1&lt;År1,0,AA23*(1-VLOOKUP($A24,[1]Hugst!$R$5:$W$9,MATCH(ROUNDUP((AB$1)/10,0)*10,[1]Hugst!$R$4:$W$4,0))))</f>
        <v>0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0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>
        <f ca="1">IF($C25-G$1&lt;År1,0,F24*(1-VLOOKUP($A25,[1]Hugst!$R$5:$W$9,MATCH(ROUNDUP((G$1)/10,0)*10,[1]Hugst!$R$4:$W$4,0))))</f>
        <v>0</v>
      </c>
      <c r="H25">
        <f ca="1">IF($C25-H$1&lt;År1,0,G24*(1-VLOOKUP($A25,[1]Hugst!$R$5:$W$9,MATCH(ROUNDUP((H$1)/10,0)*10,[1]Hugst!$R$4:$W$4,0))))</f>
        <v>0</v>
      </c>
      <c r="I25">
        <f ca="1">IF($C25-I$1&lt;År1,0,H24*(1-VLOOKUP($A25,[1]Hugst!$R$5:$W$9,MATCH(ROUNDUP((I$1)/10,0)*10,[1]Hugst!$R$4:$W$4,0))))</f>
        <v>0</v>
      </c>
      <c r="J25">
        <f ca="1">IF($C25-J$1&lt;År1,0,I24*(1-VLOOKUP($A25,[1]Hugst!$R$5:$W$9,MATCH(ROUNDUP((J$1)/10,0)*10,[1]Hugst!$R$4:$W$4,0))))</f>
        <v>0</v>
      </c>
      <c r="K25">
        <f ca="1">IF($C25-K$1&lt;År1,0,J24*(1-VLOOKUP($A25,[1]Hugst!$R$5:$W$9,MATCH(ROUNDUP((K$1)/10,0)*10,[1]Hugst!$R$4:$W$4,0))))</f>
        <v>0</v>
      </c>
      <c r="L25">
        <f ca="1">IF($C25-L$1&lt;År1,0,K24*(1-VLOOKUP($A25,[1]Hugst!$R$5:$W$9,MATCH(ROUNDUP((L$1)/10,0)*10,[1]Hugst!$R$4:$W$4,0))))</f>
        <v>0</v>
      </c>
      <c r="M25">
        <f ca="1">IF($C25-M$1&lt;År1,0,L24*(1-VLOOKUP($A25,[1]Hugst!$R$5:$W$9,MATCH(ROUNDUP((M$1)/10,0)*10,[1]Hugst!$R$4:$W$4,0))))</f>
        <v>0</v>
      </c>
      <c r="N25">
        <f ca="1">IF($C25-N$1&lt;År1,0,M24*(1-VLOOKUP($A25,[1]Hugst!$R$5:$W$9,MATCH(ROUNDUP((N$1)/10,0)*10,[1]Hugst!$R$4:$W$4,0))))</f>
        <v>0</v>
      </c>
      <c r="O25">
        <f ca="1">IF($C25-O$1&lt;År1,0,N24*(1-VLOOKUP($A25,[1]Hugst!$R$5:$W$9,MATCH(ROUNDUP((O$1)/10,0)*10,[1]Hugst!$R$4:$W$4,0))))</f>
        <v>0</v>
      </c>
      <c r="P25">
        <f ca="1">IF($C25-P$1&lt;År1,0,O24*(1-VLOOKUP($A25,[1]Hugst!$R$5:$W$9,MATCH(ROUNDUP((P$1)/10,0)*10,[1]Hugst!$R$4:$W$4,0))))</f>
        <v>0</v>
      </c>
      <c r="Q25">
        <f ca="1">IF($C25-Q$1&lt;År1,0,P24*(1-VLOOKUP($A25,[1]Hugst!$R$5:$W$9,MATCH(ROUNDUP((Q$1)/10,0)*10,[1]Hugst!$R$4:$W$4,0))))</f>
        <v>0</v>
      </c>
      <c r="R25">
        <f ca="1">IF($C25-R$1&lt;År1,0,Q24*(1-VLOOKUP($A25,[1]Hugst!$R$5:$W$9,MATCH(ROUNDUP((R$1)/10,0)*10,[1]Hugst!$R$4:$W$4,0))))</f>
        <v>0</v>
      </c>
      <c r="S25">
        <f ca="1">IF($C25-S$1&lt;År1,0,R24*(1-VLOOKUP($A25,[1]Hugst!$R$5:$W$9,MATCH(ROUNDUP((S$1)/10,0)*10,[1]Hugst!$R$4:$W$4,0))))</f>
        <v>0</v>
      </c>
      <c r="T25">
        <f ca="1">IF($C25-T$1&lt;År1,0,S24*(1-VLOOKUP($A25,[1]Hugst!$R$5:$W$9,MATCH(ROUNDUP((T$1)/10,0)*10,[1]Hugst!$R$4:$W$4,0))))</f>
        <v>0</v>
      </c>
      <c r="U25">
        <f ca="1">IF($C25-U$1&lt;År1,0,T24*(1-VLOOKUP($A25,[1]Hugst!$R$5:$W$9,MATCH(ROUNDUP((U$1)/10,0)*10,[1]Hugst!$R$4:$W$4,0))))</f>
        <v>0</v>
      </c>
      <c r="V25">
        <f ca="1">IF($C25-V$1&lt;År1,0,U24*(1-VLOOKUP($A25,[1]Hugst!$R$5:$W$9,MATCH(ROUNDUP((V$1)/10,0)*10,[1]Hugst!$R$4:$W$4,0))))</f>
        <v>0</v>
      </c>
      <c r="W25">
        <f ca="1">IF($C25-W$1&lt;År1,0,V24*(1-VLOOKUP($A25,[1]Hugst!$R$5:$W$9,MATCH(ROUNDUP((W$1)/10,0)*10,[1]Hugst!$R$4:$W$4,0))))</f>
        <v>0</v>
      </c>
      <c r="X25">
        <f ca="1">IF($C25-X$1&lt;År1,0,W24*(1-VLOOKUP($A25,[1]Hugst!$R$5:$W$9,MATCH(ROUNDUP((X$1)/10,0)*10,[1]Hugst!$R$4:$W$4,0))))</f>
        <v>0</v>
      </c>
      <c r="Y25">
        <f ca="1">IF($C25-Y$1&lt;År1,0,X24*(1-VLOOKUP($A25,[1]Hugst!$R$5:$W$9,MATCH(ROUNDUP((Y$1)/10,0)*10,[1]Hugst!$R$4:$W$4,0))))</f>
        <v>0</v>
      </c>
      <c r="Z25">
        <f ca="1">IF($C25-Z$1&lt;År1,0,Y24*(1-VLOOKUP($A25,[1]Hugst!$R$5:$W$9,MATCH(ROUNDUP((Z$1)/10,0)*10,[1]Hugst!$R$4:$W$4,0))))</f>
        <v>0</v>
      </c>
      <c r="AA25">
        <f ca="1">IF($C25-AA$1&lt;År1,0,Z24*(1-VLOOKUP($A25,[1]Hugst!$R$5:$W$9,MATCH(ROUNDUP((AA$1)/10,0)*10,[1]Hugst!$R$4:$W$4,0))))</f>
        <v>0</v>
      </c>
      <c r="AB25">
        <f ca="1">IF($C25-AB$1&lt;År1,0,AA24*(1-VLOOKUP($A25,[1]Hugst!$R$5:$W$9,MATCH(ROUNDUP((AB$1)/10,0)*10,[1]Hugst!$R$4:$W$4,0))))</f>
        <v>0</v>
      </c>
      <c r="AC25">
        <f ca="1">IF($C25-AC$1&lt;År1,0,AB24*(1-VLOOKUP($A25,[1]Hugst!$R$5:$W$9,MATCH(ROUNDUP((AC$1)/10,0)*10,[1]Hugst!$R$4:$W$4,0))))</f>
        <v>0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0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>
        <f ca="1">IF($C26-G$1&lt;År1,0,F25*(1-VLOOKUP($A26,[1]Hugst!$R$5:$W$9,MATCH(ROUNDUP((G$1)/10,0)*10,[1]Hugst!$R$4:$W$4,0))))</f>
        <v>0</v>
      </c>
      <c r="H26">
        <f ca="1">IF($C26-H$1&lt;År1,0,G25*(1-VLOOKUP($A26,[1]Hugst!$R$5:$W$9,MATCH(ROUNDUP((H$1)/10,0)*10,[1]Hugst!$R$4:$W$4,0))))</f>
        <v>0</v>
      </c>
      <c r="I26">
        <f ca="1">IF($C26-I$1&lt;År1,0,H25*(1-VLOOKUP($A26,[1]Hugst!$R$5:$W$9,MATCH(ROUNDUP((I$1)/10,0)*10,[1]Hugst!$R$4:$W$4,0))))</f>
        <v>0</v>
      </c>
      <c r="J26">
        <f ca="1">IF($C26-J$1&lt;År1,0,I25*(1-VLOOKUP($A26,[1]Hugst!$R$5:$W$9,MATCH(ROUNDUP((J$1)/10,0)*10,[1]Hugst!$R$4:$W$4,0))))</f>
        <v>0</v>
      </c>
      <c r="K26">
        <f ca="1">IF($C26-K$1&lt;År1,0,J25*(1-VLOOKUP($A26,[1]Hugst!$R$5:$W$9,MATCH(ROUNDUP((K$1)/10,0)*10,[1]Hugst!$R$4:$W$4,0))))</f>
        <v>0</v>
      </c>
      <c r="L26">
        <f ca="1">IF($C26-L$1&lt;År1,0,K25*(1-VLOOKUP($A26,[1]Hugst!$R$5:$W$9,MATCH(ROUNDUP((L$1)/10,0)*10,[1]Hugst!$R$4:$W$4,0))))</f>
        <v>0</v>
      </c>
      <c r="M26">
        <f ca="1">IF($C26-M$1&lt;År1,0,L25*(1-VLOOKUP($A26,[1]Hugst!$R$5:$W$9,MATCH(ROUNDUP((M$1)/10,0)*10,[1]Hugst!$R$4:$W$4,0))))</f>
        <v>0</v>
      </c>
      <c r="N26">
        <f ca="1">IF($C26-N$1&lt;År1,0,M25*(1-VLOOKUP($A26,[1]Hugst!$R$5:$W$9,MATCH(ROUNDUP((N$1)/10,0)*10,[1]Hugst!$R$4:$W$4,0))))</f>
        <v>0</v>
      </c>
      <c r="O26">
        <f ca="1">IF($C26-O$1&lt;År1,0,N25*(1-VLOOKUP($A26,[1]Hugst!$R$5:$W$9,MATCH(ROUNDUP((O$1)/10,0)*10,[1]Hugst!$R$4:$W$4,0))))</f>
        <v>0</v>
      </c>
      <c r="P26">
        <f ca="1">IF($C26-P$1&lt;År1,0,O25*(1-VLOOKUP($A26,[1]Hugst!$R$5:$W$9,MATCH(ROUNDUP((P$1)/10,0)*10,[1]Hugst!$R$4:$W$4,0))))</f>
        <v>0</v>
      </c>
      <c r="Q26">
        <f ca="1">IF($C26-Q$1&lt;År1,0,P25*(1-VLOOKUP($A26,[1]Hugst!$R$5:$W$9,MATCH(ROUNDUP((Q$1)/10,0)*10,[1]Hugst!$R$4:$W$4,0))))</f>
        <v>0</v>
      </c>
      <c r="R26">
        <f ca="1">IF($C26-R$1&lt;År1,0,Q25*(1-VLOOKUP($A26,[1]Hugst!$R$5:$W$9,MATCH(ROUNDUP((R$1)/10,0)*10,[1]Hugst!$R$4:$W$4,0))))</f>
        <v>0</v>
      </c>
      <c r="S26">
        <f ca="1">IF($C26-S$1&lt;År1,0,R25*(1-VLOOKUP($A26,[1]Hugst!$R$5:$W$9,MATCH(ROUNDUP((S$1)/10,0)*10,[1]Hugst!$R$4:$W$4,0))))</f>
        <v>0</v>
      </c>
      <c r="T26">
        <f ca="1">IF($C26-T$1&lt;År1,0,S25*(1-VLOOKUP($A26,[1]Hugst!$R$5:$W$9,MATCH(ROUNDUP((T$1)/10,0)*10,[1]Hugst!$R$4:$W$4,0))))</f>
        <v>0</v>
      </c>
      <c r="U26">
        <f ca="1">IF($C26-U$1&lt;År1,0,T25*(1-VLOOKUP($A26,[1]Hugst!$R$5:$W$9,MATCH(ROUNDUP((U$1)/10,0)*10,[1]Hugst!$R$4:$W$4,0))))</f>
        <v>0</v>
      </c>
      <c r="V26">
        <f ca="1">IF($C26-V$1&lt;År1,0,U25*(1-VLOOKUP($A26,[1]Hugst!$R$5:$W$9,MATCH(ROUNDUP((V$1)/10,0)*10,[1]Hugst!$R$4:$W$4,0))))</f>
        <v>0</v>
      </c>
      <c r="W26">
        <f ca="1">IF($C26-W$1&lt;År1,0,V25*(1-VLOOKUP($A26,[1]Hugst!$R$5:$W$9,MATCH(ROUNDUP((W$1)/10,0)*10,[1]Hugst!$R$4:$W$4,0))))</f>
        <v>0</v>
      </c>
      <c r="X26">
        <f ca="1">IF($C26-X$1&lt;År1,0,W25*(1-VLOOKUP($A26,[1]Hugst!$R$5:$W$9,MATCH(ROUNDUP((X$1)/10,0)*10,[1]Hugst!$R$4:$W$4,0))))</f>
        <v>0</v>
      </c>
      <c r="Y26">
        <f ca="1">IF($C26-Y$1&lt;År1,0,X25*(1-VLOOKUP($A26,[1]Hugst!$R$5:$W$9,MATCH(ROUNDUP((Y$1)/10,0)*10,[1]Hugst!$R$4:$W$4,0))))</f>
        <v>0</v>
      </c>
      <c r="Z26">
        <f ca="1">IF($C26-Z$1&lt;År1,0,Y25*(1-VLOOKUP($A26,[1]Hugst!$R$5:$W$9,MATCH(ROUNDUP((Z$1)/10,0)*10,[1]Hugst!$R$4:$W$4,0))))</f>
        <v>0</v>
      </c>
      <c r="AA26">
        <f ca="1">IF($C26-AA$1&lt;År1,0,Z25*(1-VLOOKUP($A26,[1]Hugst!$R$5:$W$9,MATCH(ROUNDUP((AA$1)/10,0)*10,[1]Hugst!$R$4:$W$4,0))))</f>
        <v>0</v>
      </c>
      <c r="AB26">
        <f ca="1">IF($C26-AB$1&lt;År1,0,AA25*(1-VLOOKUP($A26,[1]Hugst!$R$5:$W$9,MATCH(ROUNDUP((AB$1)/10,0)*10,[1]Hugst!$R$4:$W$4,0))))</f>
        <v>0</v>
      </c>
      <c r="AC26">
        <f ca="1">IF($C26-AC$1&lt;År1,0,AB25*(1-VLOOKUP($A26,[1]Hugst!$R$5:$W$9,MATCH(ROUNDUP((AC$1)/10,0)*10,[1]Hugst!$R$4:$W$4,0))))</f>
        <v>0</v>
      </c>
      <c r="AD26">
        <f ca="1">IF($C26-AD$1&lt;År1,0,AC25*(1-VLOOKUP($A26,[1]Hugst!$R$5:$W$9,MATCH(ROUNDUP((AD$1)/10,0)*10,[1]Hugst!$R$4:$W$4,0))))</f>
        <v>0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0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>
        <f ca="1">IF($C27-G$1&lt;År1,0,F26*(1-VLOOKUP($A27,[1]Hugst!$R$5:$W$9,MATCH(ROUNDUP((G$1)/10,0)*10,[1]Hugst!$R$4:$W$4,0))))</f>
        <v>0</v>
      </c>
      <c r="H27">
        <f ca="1">IF($C27-H$1&lt;År1,0,G26*(1-VLOOKUP($A27,[1]Hugst!$R$5:$W$9,MATCH(ROUNDUP((H$1)/10,0)*10,[1]Hugst!$R$4:$W$4,0))))</f>
        <v>0</v>
      </c>
      <c r="I27">
        <f ca="1">IF($C27-I$1&lt;År1,0,H26*(1-VLOOKUP($A27,[1]Hugst!$R$5:$W$9,MATCH(ROUNDUP((I$1)/10,0)*10,[1]Hugst!$R$4:$W$4,0))))</f>
        <v>0</v>
      </c>
      <c r="J27">
        <f ca="1">IF($C27-J$1&lt;År1,0,I26*(1-VLOOKUP($A27,[1]Hugst!$R$5:$W$9,MATCH(ROUNDUP((J$1)/10,0)*10,[1]Hugst!$R$4:$W$4,0))))</f>
        <v>0</v>
      </c>
      <c r="K27">
        <f ca="1">IF($C27-K$1&lt;År1,0,J26*(1-VLOOKUP($A27,[1]Hugst!$R$5:$W$9,MATCH(ROUNDUP((K$1)/10,0)*10,[1]Hugst!$R$4:$W$4,0))))</f>
        <v>0</v>
      </c>
      <c r="L27">
        <f ca="1">IF($C27-L$1&lt;År1,0,K26*(1-VLOOKUP($A27,[1]Hugst!$R$5:$W$9,MATCH(ROUNDUP((L$1)/10,0)*10,[1]Hugst!$R$4:$W$4,0))))</f>
        <v>0</v>
      </c>
      <c r="M27">
        <f ca="1">IF($C27-M$1&lt;År1,0,L26*(1-VLOOKUP($A27,[1]Hugst!$R$5:$W$9,MATCH(ROUNDUP((M$1)/10,0)*10,[1]Hugst!$R$4:$W$4,0))))</f>
        <v>0</v>
      </c>
      <c r="N27">
        <f ca="1">IF($C27-N$1&lt;År1,0,M26*(1-VLOOKUP($A27,[1]Hugst!$R$5:$W$9,MATCH(ROUNDUP((N$1)/10,0)*10,[1]Hugst!$R$4:$W$4,0))))</f>
        <v>0</v>
      </c>
      <c r="O27">
        <f ca="1">IF($C27-O$1&lt;År1,0,N26*(1-VLOOKUP($A27,[1]Hugst!$R$5:$W$9,MATCH(ROUNDUP((O$1)/10,0)*10,[1]Hugst!$R$4:$W$4,0))))</f>
        <v>0</v>
      </c>
      <c r="P27">
        <f ca="1">IF($C27-P$1&lt;År1,0,O26*(1-VLOOKUP($A27,[1]Hugst!$R$5:$W$9,MATCH(ROUNDUP((P$1)/10,0)*10,[1]Hugst!$R$4:$W$4,0))))</f>
        <v>0</v>
      </c>
      <c r="Q27">
        <f ca="1">IF($C27-Q$1&lt;År1,0,P26*(1-VLOOKUP($A27,[1]Hugst!$R$5:$W$9,MATCH(ROUNDUP((Q$1)/10,0)*10,[1]Hugst!$R$4:$W$4,0))))</f>
        <v>0</v>
      </c>
      <c r="R27">
        <f ca="1">IF($C27-R$1&lt;År1,0,Q26*(1-VLOOKUP($A27,[1]Hugst!$R$5:$W$9,MATCH(ROUNDUP((R$1)/10,0)*10,[1]Hugst!$R$4:$W$4,0))))</f>
        <v>0</v>
      </c>
      <c r="S27">
        <f ca="1">IF($C27-S$1&lt;År1,0,R26*(1-VLOOKUP($A27,[1]Hugst!$R$5:$W$9,MATCH(ROUNDUP((S$1)/10,0)*10,[1]Hugst!$R$4:$W$4,0))))</f>
        <v>0</v>
      </c>
      <c r="T27">
        <f ca="1">IF($C27-T$1&lt;År1,0,S26*(1-VLOOKUP($A27,[1]Hugst!$R$5:$W$9,MATCH(ROUNDUP((T$1)/10,0)*10,[1]Hugst!$R$4:$W$4,0))))</f>
        <v>0</v>
      </c>
      <c r="U27">
        <f ca="1">IF($C27-U$1&lt;År1,0,T26*(1-VLOOKUP($A27,[1]Hugst!$R$5:$W$9,MATCH(ROUNDUP((U$1)/10,0)*10,[1]Hugst!$R$4:$W$4,0))))</f>
        <v>0</v>
      </c>
      <c r="V27">
        <f ca="1">IF($C27-V$1&lt;År1,0,U26*(1-VLOOKUP($A27,[1]Hugst!$R$5:$W$9,MATCH(ROUNDUP((V$1)/10,0)*10,[1]Hugst!$R$4:$W$4,0))))</f>
        <v>0</v>
      </c>
      <c r="W27">
        <f ca="1">IF($C27-W$1&lt;År1,0,V26*(1-VLOOKUP($A27,[1]Hugst!$R$5:$W$9,MATCH(ROUNDUP((W$1)/10,0)*10,[1]Hugst!$R$4:$W$4,0))))</f>
        <v>0</v>
      </c>
      <c r="X27">
        <f ca="1">IF($C27-X$1&lt;År1,0,W26*(1-VLOOKUP($A27,[1]Hugst!$R$5:$W$9,MATCH(ROUNDUP((X$1)/10,0)*10,[1]Hugst!$R$4:$W$4,0))))</f>
        <v>0</v>
      </c>
      <c r="Y27">
        <f ca="1">IF($C27-Y$1&lt;År1,0,X26*(1-VLOOKUP($A27,[1]Hugst!$R$5:$W$9,MATCH(ROUNDUP((Y$1)/10,0)*10,[1]Hugst!$R$4:$W$4,0))))</f>
        <v>0</v>
      </c>
      <c r="Z27">
        <f ca="1">IF($C27-Z$1&lt;År1,0,Y26*(1-VLOOKUP($A27,[1]Hugst!$R$5:$W$9,MATCH(ROUNDUP((Z$1)/10,0)*10,[1]Hugst!$R$4:$W$4,0))))</f>
        <v>0</v>
      </c>
      <c r="AA27">
        <f ca="1">IF($C27-AA$1&lt;År1,0,Z26*(1-VLOOKUP($A27,[1]Hugst!$R$5:$W$9,MATCH(ROUNDUP((AA$1)/10,0)*10,[1]Hugst!$R$4:$W$4,0))))</f>
        <v>0</v>
      </c>
      <c r="AB27">
        <f ca="1">IF($C27-AB$1&lt;År1,0,AA26*(1-VLOOKUP($A27,[1]Hugst!$R$5:$W$9,MATCH(ROUNDUP((AB$1)/10,0)*10,[1]Hugst!$R$4:$W$4,0))))</f>
        <v>0</v>
      </c>
      <c r="AC27">
        <f ca="1">IF($C27-AC$1&lt;År1,0,AB26*(1-VLOOKUP($A27,[1]Hugst!$R$5:$W$9,MATCH(ROUNDUP((AC$1)/10,0)*10,[1]Hugst!$R$4:$W$4,0))))</f>
        <v>0</v>
      </c>
      <c r="AD27">
        <f ca="1">IF($C27-AD$1&lt;År1,0,AC26*(1-VLOOKUP($A27,[1]Hugst!$R$5:$W$9,MATCH(ROUNDUP((AD$1)/10,0)*10,[1]Hugst!$R$4:$W$4,0))))</f>
        <v>0</v>
      </c>
      <c r="AE27">
        <f ca="1">IF($C27-AE$1&lt;År1,0,AD26*(1-VLOOKUP($A27,[1]Hugst!$R$5:$W$9,MATCH(ROUNDUP((AE$1)/10,0)*10,[1]Hugst!$R$4:$W$4,0))))</f>
        <v>0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0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>
        <f ca="1">IF($C28-G$1&lt;År1,0,F27*(1-VLOOKUP($A28,[1]Hugst!$R$5:$W$9,MATCH(ROUNDUP((G$1)/10,0)*10,[1]Hugst!$R$4:$W$4,0))))</f>
        <v>0</v>
      </c>
      <c r="H28">
        <f ca="1">IF($C28-H$1&lt;År1,0,G27*(1-VLOOKUP($A28,[1]Hugst!$R$5:$W$9,MATCH(ROUNDUP((H$1)/10,0)*10,[1]Hugst!$R$4:$W$4,0))))</f>
        <v>0</v>
      </c>
      <c r="I28">
        <f ca="1">IF($C28-I$1&lt;År1,0,H27*(1-VLOOKUP($A28,[1]Hugst!$R$5:$W$9,MATCH(ROUNDUP((I$1)/10,0)*10,[1]Hugst!$R$4:$W$4,0))))</f>
        <v>0</v>
      </c>
      <c r="J28">
        <f ca="1">IF($C28-J$1&lt;År1,0,I27*(1-VLOOKUP($A28,[1]Hugst!$R$5:$W$9,MATCH(ROUNDUP((J$1)/10,0)*10,[1]Hugst!$R$4:$W$4,0))))</f>
        <v>0</v>
      </c>
      <c r="K28">
        <f ca="1">IF($C28-K$1&lt;År1,0,J27*(1-VLOOKUP($A28,[1]Hugst!$R$5:$W$9,MATCH(ROUNDUP((K$1)/10,0)*10,[1]Hugst!$R$4:$W$4,0))))</f>
        <v>0</v>
      </c>
      <c r="L28">
        <f ca="1">IF($C28-L$1&lt;År1,0,K27*(1-VLOOKUP($A28,[1]Hugst!$R$5:$W$9,MATCH(ROUNDUP((L$1)/10,0)*10,[1]Hugst!$R$4:$W$4,0))))</f>
        <v>0</v>
      </c>
      <c r="M28">
        <f ca="1">IF($C28-M$1&lt;År1,0,L27*(1-VLOOKUP($A28,[1]Hugst!$R$5:$W$9,MATCH(ROUNDUP((M$1)/10,0)*10,[1]Hugst!$R$4:$W$4,0))))</f>
        <v>0</v>
      </c>
      <c r="N28">
        <f ca="1">IF($C28-N$1&lt;År1,0,M27*(1-VLOOKUP($A28,[1]Hugst!$R$5:$W$9,MATCH(ROUNDUP((N$1)/10,0)*10,[1]Hugst!$R$4:$W$4,0))))</f>
        <v>0</v>
      </c>
      <c r="O28">
        <f ca="1">IF($C28-O$1&lt;År1,0,N27*(1-VLOOKUP($A28,[1]Hugst!$R$5:$W$9,MATCH(ROUNDUP((O$1)/10,0)*10,[1]Hugst!$R$4:$W$4,0))))</f>
        <v>0</v>
      </c>
      <c r="P28">
        <f ca="1">IF($C28-P$1&lt;År1,0,O27*(1-VLOOKUP($A28,[1]Hugst!$R$5:$W$9,MATCH(ROUNDUP((P$1)/10,0)*10,[1]Hugst!$R$4:$W$4,0))))</f>
        <v>0</v>
      </c>
      <c r="Q28">
        <f ca="1">IF($C28-Q$1&lt;År1,0,P27*(1-VLOOKUP($A28,[1]Hugst!$R$5:$W$9,MATCH(ROUNDUP((Q$1)/10,0)*10,[1]Hugst!$R$4:$W$4,0))))</f>
        <v>0</v>
      </c>
      <c r="R28">
        <f ca="1">IF($C28-R$1&lt;År1,0,Q27*(1-VLOOKUP($A28,[1]Hugst!$R$5:$W$9,MATCH(ROUNDUP((R$1)/10,0)*10,[1]Hugst!$R$4:$W$4,0))))</f>
        <v>0</v>
      </c>
      <c r="S28">
        <f ca="1">IF($C28-S$1&lt;År1,0,R27*(1-VLOOKUP($A28,[1]Hugst!$R$5:$W$9,MATCH(ROUNDUP((S$1)/10,0)*10,[1]Hugst!$R$4:$W$4,0))))</f>
        <v>0</v>
      </c>
      <c r="T28">
        <f ca="1">IF($C28-T$1&lt;År1,0,S27*(1-VLOOKUP($A28,[1]Hugst!$R$5:$W$9,MATCH(ROUNDUP((T$1)/10,0)*10,[1]Hugst!$R$4:$W$4,0))))</f>
        <v>0</v>
      </c>
      <c r="U28">
        <f ca="1">IF($C28-U$1&lt;År1,0,T27*(1-VLOOKUP($A28,[1]Hugst!$R$5:$W$9,MATCH(ROUNDUP((U$1)/10,0)*10,[1]Hugst!$R$4:$W$4,0))))</f>
        <v>0</v>
      </c>
      <c r="V28">
        <f ca="1">IF($C28-V$1&lt;År1,0,U27*(1-VLOOKUP($A28,[1]Hugst!$R$5:$W$9,MATCH(ROUNDUP((V$1)/10,0)*10,[1]Hugst!$R$4:$W$4,0))))</f>
        <v>0</v>
      </c>
      <c r="W28">
        <f ca="1">IF($C28-W$1&lt;År1,0,V27*(1-VLOOKUP($A28,[1]Hugst!$R$5:$W$9,MATCH(ROUNDUP((W$1)/10,0)*10,[1]Hugst!$R$4:$W$4,0))))</f>
        <v>0</v>
      </c>
      <c r="X28">
        <f ca="1">IF($C28-X$1&lt;År1,0,W27*(1-VLOOKUP($A28,[1]Hugst!$R$5:$W$9,MATCH(ROUNDUP((X$1)/10,0)*10,[1]Hugst!$R$4:$W$4,0))))</f>
        <v>0</v>
      </c>
      <c r="Y28">
        <f ca="1">IF($C28-Y$1&lt;År1,0,X27*(1-VLOOKUP($A28,[1]Hugst!$R$5:$W$9,MATCH(ROUNDUP((Y$1)/10,0)*10,[1]Hugst!$R$4:$W$4,0))))</f>
        <v>0</v>
      </c>
      <c r="Z28">
        <f ca="1">IF($C28-Z$1&lt;År1,0,Y27*(1-VLOOKUP($A28,[1]Hugst!$R$5:$W$9,MATCH(ROUNDUP((Z$1)/10,0)*10,[1]Hugst!$R$4:$W$4,0))))</f>
        <v>0</v>
      </c>
      <c r="AA28">
        <f ca="1">IF($C28-AA$1&lt;År1,0,Z27*(1-VLOOKUP($A28,[1]Hugst!$R$5:$W$9,MATCH(ROUNDUP((AA$1)/10,0)*10,[1]Hugst!$R$4:$W$4,0))))</f>
        <v>0</v>
      </c>
      <c r="AB28">
        <f ca="1">IF($C28-AB$1&lt;År1,0,AA27*(1-VLOOKUP($A28,[1]Hugst!$R$5:$W$9,MATCH(ROUNDUP((AB$1)/10,0)*10,[1]Hugst!$R$4:$W$4,0))))</f>
        <v>0</v>
      </c>
      <c r="AC28">
        <f ca="1">IF($C28-AC$1&lt;År1,0,AB27*(1-VLOOKUP($A28,[1]Hugst!$R$5:$W$9,MATCH(ROUNDUP((AC$1)/10,0)*10,[1]Hugst!$R$4:$W$4,0))))</f>
        <v>0</v>
      </c>
      <c r="AD28">
        <f ca="1">IF($C28-AD$1&lt;År1,0,AC27*(1-VLOOKUP($A28,[1]Hugst!$R$5:$W$9,MATCH(ROUNDUP((AD$1)/10,0)*10,[1]Hugst!$R$4:$W$4,0))))</f>
        <v>0</v>
      </c>
      <c r="AE28">
        <f ca="1">IF($C28-AE$1&lt;År1,0,AD27*(1-VLOOKUP($A28,[1]Hugst!$R$5:$W$9,MATCH(ROUNDUP((AE$1)/10,0)*10,[1]Hugst!$R$4:$W$4,0))))</f>
        <v>0</v>
      </c>
      <c r="AF28">
        <f ca="1">IF($C28-AF$1&lt;År1,0,AE27*(1-VLOOKUP($A28,[1]Hugst!$R$5:$W$9,MATCH(ROUNDUP((AF$1)/10,0)*10,[1]Hugst!$R$4:$W$4,0))))</f>
        <v>0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0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>
        <f ca="1">IF($C29-G$1&lt;År1,0,F28*(1-VLOOKUP($A29,[1]Hugst!$R$5:$W$9,MATCH(ROUNDUP((G$1)/10,0)*10,[1]Hugst!$R$4:$W$4,0))))</f>
        <v>0</v>
      </c>
      <c r="H29">
        <f ca="1">IF($C29-H$1&lt;År1,0,G28*(1-VLOOKUP($A29,[1]Hugst!$R$5:$W$9,MATCH(ROUNDUP((H$1)/10,0)*10,[1]Hugst!$R$4:$W$4,0))))</f>
        <v>0</v>
      </c>
      <c r="I29">
        <f ca="1">IF($C29-I$1&lt;År1,0,H28*(1-VLOOKUP($A29,[1]Hugst!$R$5:$W$9,MATCH(ROUNDUP((I$1)/10,0)*10,[1]Hugst!$R$4:$W$4,0))))</f>
        <v>0</v>
      </c>
      <c r="J29">
        <f ca="1">IF($C29-J$1&lt;År1,0,I28*(1-VLOOKUP($A29,[1]Hugst!$R$5:$W$9,MATCH(ROUNDUP((J$1)/10,0)*10,[1]Hugst!$R$4:$W$4,0))))</f>
        <v>0</v>
      </c>
      <c r="K29">
        <f ca="1">IF($C29-K$1&lt;År1,0,J28*(1-VLOOKUP($A29,[1]Hugst!$R$5:$W$9,MATCH(ROUNDUP((K$1)/10,0)*10,[1]Hugst!$R$4:$W$4,0))))</f>
        <v>0</v>
      </c>
      <c r="L29">
        <f ca="1">IF($C29-L$1&lt;År1,0,K28*(1-VLOOKUP($A29,[1]Hugst!$R$5:$W$9,MATCH(ROUNDUP((L$1)/10,0)*10,[1]Hugst!$R$4:$W$4,0))))</f>
        <v>0</v>
      </c>
      <c r="M29">
        <f ca="1">IF($C29-M$1&lt;År1,0,L28*(1-VLOOKUP($A29,[1]Hugst!$R$5:$W$9,MATCH(ROUNDUP((M$1)/10,0)*10,[1]Hugst!$R$4:$W$4,0))))</f>
        <v>0</v>
      </c>
      <c r="N29">
        <f ca="1">IF($C29-N$1&lt;År1,0,M28*(1-VLOOKUP($A29,[1]Hugst!$R$5:$W$9,MATCH(ROUNDUP((N$1)/10,0)*10,[1]Hugst!$R$4:$W$4,0))))</f>
        <v>0</v>
      </c>
      <c r="O29">
        <f ca="1">IF($C29-O$1&lt;År1,0,N28*(1-VLOOKUP($A29,[1]Hugst!$R$5:$W$9,MATCH(ROUNDUP((O$1)/10,0)*10,[1]Hugst!$R$4:$W$4,0))))</f>
        <v>0</v>
      </c>
      <c r="P29">
        <f ca="1">IF($C29-P$1&lt;År1,0,O28*(1-VLOOKUP($A29,[1]Hugst!$R$5:$W$9,MATCH(ROUNDUP((P$1)/10,0)*10,[1]Hugst!$R$4:$W$4,0))))</f>
        <v>0</v>
      </c>
      <c r="Q29">
        <f ca="1">IF($C29-Q$1&lt;År1,0,P28*(1-VLOOKUP($A29,[1]Hugst!$R$5:$W$9,MATCH(ROUNDUP((Q$1)/10,0)*10,[1]Hugst!$R$4:$W$4,0))))</f>
        <v>0</v>
      </c>
      <c r="R29">
        <f ca="1">IF($C29-R$1&lt;År1,0,Q28*(1-VLOOKUP($A29,[1]Hugst!$R$5:$W$9,MATCH(ROUNDUP((R$1)/10,0)*10,[1]Hugst!$R$4:$W$4,0))))</f>
        <v>0</v>
      </c>
      <c r="S29">
        <f ca="1">IF($C29-S$1&lt;År1,0,R28*(1-VLOOKUP($A29,[1]Hugst!$R$5:$W$9,MATCH(ROUNDUP((S$1)/10,0)*10,[1]Hugst!$R$4:$W$4,0))))</f>
        <v>0</v>
      </c>
      <c r="T29">
        <f ca="1">IF($C29-T$1&lt;År1,0,S28*(1-VLOOKUP($A29,[1]Hugst!$R$5:$W$9,MATCH(ROUNDUP((T$1)/10,0)*10,[1]Hugst!$R$4:$W$4,0))))</f>
        <v>0</v>
      </c>
      <c r="U29">
        <f ca="1">IF($C29-U$1&lt;År1,0,T28*(1-VLOOKUP($A29,[1]Hugst!$R$5:$W$9,MATCH(ROUNDUP((U$1)/10,0)*10,[1]Hugst!$R$4:$W$4,0))))</f>
        <v>0</v>
      </c>
      <c r="V29">
        <f ca="1">IF($C29-V$1&lt;År1,0,U28*(1-VLOOKUP($A29,[1]Hugst!$R$5:$W$9,MATCH(ROUNDUP((V$1)/10,0)*10,[1]Hugst!$R$4:$W$4,0))))</f>
        <v>0</v>
      </c>
      <c r="W29">
        <f ca="1">IF($C29-W$1&lt;År1,0,V28*(1-VLOOKUP($A29,[1]Hugst!$R$5:$W$9,MATCH(ROUNDUP((W$1)/10,0)*10,[1]Hugst!$R$4:$W$4,0))))</f>
        <v>0</v>
      </c>
      <c r="X29">
        <f ca="1">IF($C29-X$1&lt;År1,0,W28*(1-VLOOKUP($A29,[1]Hugst!$R$5:$W$9,MATCH(ROUNDUP((X$1)/10,0)*10,[1]Hugst!$R$4:$W$4,0))))</f>
        <v>0</v>
      </c>
      <c r="Y29">
        <f ca="1">IF($C29-Y$1&lt;År1,0,X28*(1-VLOOKUP($A29,[1]Hugst!$R$5:$W$9,MATCH(ROUNDUP((Y$1)/10,0)*10,[1]Hugst!$R$4:$W$4,0))))</f>
        <v>0</v>
      </c>
      <c r="Z29">
        <f ca="1">IF($C29-Z$1&lt;År1,0,Y28*(1-VLOOKUP($A29,[1]Hugst!$R$5:$W$9,MATCH(ROUNDUP((Z$1)/10,0)*10,[1]Hugst!$R$4:$W$4,0))))</f>
        <v>0</v>
      </c>
      <c r="AA29">
        <f ca="1">IF($C29-AA$1&lt;År1,0,Z28*(1-VLOOKUP($A29,[1]Hugst!$R$5:$W$9,MATCH(ROUNDUP((AA$1)/10,0)*10,[1]Hugst!$R$4:$W$4,0))))</f>
        <v>0</v>
      </c>
      <c r="AB29">
        <f ca="1">IF($C29-AB$1&lt;År1,0,AA28*(1-VLOOKUP($A29,[1]Hugst!$R$5:$W$9,MATCH(ROUNDUP((AB$1)/10,0)*10,[1]Hugst!$R$4:$W$4,0))))</f>
        <v>0</v>
      </c>
      <c r="AC29">
        <f ca="1">IF($C29-AC$1&lt;År1,0,AB28*(1-VLOOKUP($A29,[1]Hugst!$R$5:$W$9,MATCH(ROUNDUP((AC$1)/10,0)*10,[1]Hugst!$R$4:$W$4,0))))</f>
        <v>0</v>
      </c>
      <c r="AD29">
        <f ca="1">IF($C29-AD$1&lt;År1,0,AC28*(1-VLOOKUP($A29,[1]Hugst!$R$5:$W$9,MATCH(ROUNDUP((AD$1)/10,0)*10,[1]Hugst!$R$4:$W$4,0))))</f>
        <v>0</v>
      </c>
      <c r="AE29">
        <f ca="1">IF($C29-AE$1&lt;År1,0,AD28*(1-VLOOKUP($A29,[1]Hugst!$R$5:$W$9,MATCH(ROUNDUP((AE$1)/10,0)*10,[1]Hugst!$R$4:$W$4,0))))</f>
        <v>0</v>
      </c>
      <c r="AF29">
        <f ca="1">IF($C29-AF$1&lt;År1,0,AE28*(1-VLOOKUP($A29,[1]Hugst!$R$5:$W$9,MATCH(ROUNDUP((AF$1)/10,0)*10,[1]Hugst!$R$4:$W$4,0))))</f>
        <v>0</v>
      </c>
      <c r="AG29">
        <f ca="1">IF($C29-AG$1&lt;År1,0,AF28*(1-VLOOKUP($A29,[1]Hugst!$R$5:$W$9,MATCH(ROUNDUP((AG$1)/10,0)*10,[1]Hugst!$R$4:$W$4,0))))</f>
        <v>0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0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>
        <f ca="1">IF($C30-G$1&lt;År1,0,F29*(1-VLOOKUP($A30,[1]Hugst!$R$5:$W$9,MATCH(ROUNDUP((G$1)/10,0)*10,[1]Hugst!$R$4:$W$4,0))))</f>
        <v>0</v>
      </c>
      <c r="H30">
        <f ca="1">IF($C30-H$1&lt;År1,0,G29*(1-VLOOKUP($A30,[1]Hugst!$R$5:$W$9,MATCH(ROUNDUP((H$1)/10,0)*10,[1]Hugst!$R$4:$W$4,0))))</f>
        <v>0</v>
      </c>
      <c r="I30">
        <f ca="1">IF($C30-I$1&lt;År1,0,H29*(1-VLOOKUP($A30,[1]Hugst!$R$5:$W$9,MATCH(ROUNDUP((I$1)/10,0)*10,[1]Hugst!$R$4:$W$4,0))))</f>
        <v>0</v>
      </c>
      <c r="J30">
        <f ca="1">IF($C30-J$1&lt;År1,0,I29*(1-VLOOKUP($A30,[1]Hugst!$R$5:$W$9,MATCH(ROUNDUP((J$1)/10,0)*10,[1]Hugst!$R$4:$W$4,0))))</f>
        <v>0</v>
      </c>
      <c r="K30">
        <f ca="1">IF($C30-K$1&lt;År1,0,J29*(1-VLOOKUP($A30,[1]Hugst!$R$5:$W$9,MATCH(ROUNDUP((K$1)/10,0)*10,[1]Hugst!$R$4:$W$4,0))))</f>
        <v>0</v>
      </c>
      <c r="L30">
        <f ca="1">IF($C30-L$1&lt;År1,0,K29*(1-VLOOKUP($A30,[1]Hugst!$R$5:$W$9,MATCH(ROUNDUP((L$1)/10,0)*10,[1]Hugst!$R$4:$W$4,0))))</f>
        <v>0</v>
      </c>
      <c r="M30">
        <f ca="1">IF($C30-M$1&lt;År1,0,L29*(1-VLOOKUP($A30,[1]Hugst!$R$5:$W$9,MATCH(ROUNDUP((M$1)/10,0)*10,[1]Hugst!$R$4:$W$4,0))))</f>
        <v>0</v>
      </c>
      <c r="N30">
        <f ca="1">IF($C30-N$1&lt;År1,0,M29*(1-VLOOKUP($A30,[1]Hugst!$R$5:$W$9,MATCH(ROUNDUP((N$1)/10,0)*10,[1]Hugst!$R$4:$W$4,0))))</f>
        <v>0</v>
      </c>
      <c r="O30">
        <f ca="1">IF($C30-O$1&lt;År1,0,N29*(1-VLOOKUP($A30,[1]Hugst!$R$5:$W$9,MATCH(ROUNDUP((O$1)/10,0)*10,[1]Hugst!$R$4:$W$4,0))))</f>
        <v>0</v>
      </c>
      <c r="P30">
        <f ca="1">IF($C30-P$1&lt;År1,0,O29*(1-VLOOKUP($A30,[1]Hugst!$R$5:$W$9,MATCH(ROUNDUP((P$1)/10,0)*10,[1]Hugst!$R$4:$W$4,0))))</f>
        <v>0</v>
      </c>
      <c r="Q30">
        <f ca="1">IF($C30-Q$1&lt;År1,0,P29*(1-VLOOKUP($A30,[1]Hugst!$R$5:$W$9,MATCH(ROUNDUP((Q$1)/10,0)*10,[1]Hugst!$R$4:$W$4,0))))</f>
        <v>0</v>
      </c>
      <c r="R30">
        <f ca="1">IF($C30-R$1&lt;År1,0,Q29*(1-VLOOKUP($A30,[1]Hugst!$R$5:$W$9,MATCH(ROUNDUP((R$1)/10,0)*10,[1]Hugst!$R$4:$W$4,0))))</f>
        <v>0</v>
      </c>
      <c r="S30">
        <f ca="1">IF($C30-S$1&lt;År1,0,R29*(1-VLOOKUP($A30,[1]Hugst!$R$5:$W$9,MATCH(ROUNDUP((S$1)/10,0)*10,[1]Hugst!$R$4:$W$4,0))))</f>
        <v>0</v>
      </c>
      <c r="T30">
        <f ca="1">IF($C30-T$1&lt;År1,0,S29*(1-VLOOKUP($A30,[1]Hugst!$R$5:$W$9,MATCH(ROUNDUP((T$1)/10,0)*10,[1]Hugst!$R$4:$W$4,0))))</f>
        <v>0</v>
      </c>
      <c r="U30">
        <f ca="1">IF($C30-U$1&lt;År1,0,T29*(1-VLOOKUP($A30,[1]Hugst!$R$5:$W$9,MATCH(ROUNDUP((U$1)/10,0)*10,[1]Hugst!$R$4:$W$4,0))))</f>
        <v>0</v>
      </c>
      <c r="V30">
        <f ca="1">IF($C30-V$1&lt;År1,0,U29*(1-VLOOKUP($A30,[1]Hugst!$R$5:$W$9,MATCH(ROUNDUP((V$1)/10,0)*10,[1]Hugst!$R$4:$W$4,0))))</f>
        <v>0</v>
      </c>
      <c r="W30">
        <f ca="1">IF($C30-W$1&lt;År1,0,V29*(1-VLOOKUP($A30,[1]Hugst!$R$5:$W$9,MATCH(ROUNDUP((W$1)/10,0)*10,[1]Hugst!$R$4:$W$4,0))))</f>
        <v>0</v>
      </c>
      <c r="X30">
        <f ca="1">IF($C30-X$1&lt;År1,0,W29*(1-VLOOKUP($A30,[1]Hugst!$R$5:$W$9,MATCH(ROUNDUP((X$1)/10,0)*10,[1]Hugst!$R$4:$W$4,0))))</f>
        <v>0</v>
      </c>
      <c r="Y30">
        <f ca="1">IF($C30-Y$1&lt;År1,0,X29*(1-VLOOKUP($A30,[1]Hugst!$R$5:$W$9,MATCH(ROUNDUP((Y$1)/10,0)*10,[1]Hugst!$R$4:$W$4,0))))</f>
        <v>0</v>
      </c>
      <c r="Z30">
        <f ca="1">IF($C30-Z$1&lt;År1,0,Y29*(1-VLOOKUP($A30,[1]Hugst!$R$5:$W$9,MATCH(ROUNDUP((Z$1)/10,0)*10,[1]Hugst!$R$4:$W$4,0))))</f>
        <v>0</v>
      </c>
      <c r="AA30">
        <f ca="1">IF($C30-AA$1&lt;År1,0,Z29*(1-VLOOKUP($A30,[1]Hugst!$R$5:$W$9,MATCH(ROUNDUP((AA$1)/10,0)*10,[1]Hugst!$R$4:$W$4,0))))</f>
        <v>0</v>
      </c>
      <c r="AB30">
        <f ca="1">IF($C30-AB$1&lt;År1,0,AA29*(1-VLOOKUP($A30,[1]Hugst!$R$5:$W$9,MATCH(ROUNDUP((AB$1)/10,0)*10,[1]Hugst!$R$4:$W$4,0))))</f>
        <v>0</v>
      </c>
      <c r="AC30">
        <f ca="1">IF($C30-AC$1&lt;År1,0,AB29*(1-VLOOKUP($A30,[1]Hugst!$R$5:$W$9,MATCH(ROUNDUP((AC$1)/10,0)*10,[1]Hugst!$R$4:$W$4,0))))</f>
        <v>0</v>
      </c>
      <c r="AD30">
        <f ca="1">IF($C30-AD$1&lt;År1,0,AC29*(1-VLOOKUP($A30,[1]Hugst!$R$5:$W$9,MATCH(ROUNDUP((AD$1)/10,0)*10,[1]Hugst!$R$4:$W$4,0))))</f>
        <v>0</v>
      </c>
      <c r="AE30">
        <f ca="1">IF($C30-AE$1&lt;År1,0,AD29*(1-VLOOKUP($A30,[1]Hugst!$R$5:$W$9,MATCH(ROUNDUP((AE$1)/10,0)*10,[1]Hugst!$R$4:$W$4,0))))</f>
        <v>0</v>
      </c>
      <c r="AF30">
        <f ca="1">IF($C30-AF$1&lt;År1,0,AE29*(1-VLOOKUP($A30,[1]Hugst!$R$5:$W$9,MATCH(ROUNDUP((AF$1)/10,0)*10,[1]Hugst!$R$4:$W$4,0))))</f>
        <v>0</v>
      </c>
      <c r="AG30">
        <f ca="1">IF($C30-AG$1&lt;År1,0,AF29*(1-VLOOKUP($A30,[1]Hugst!$R$5:$W$9,MATCH(ROUNDUP((AG$1)/10,0)*10,[1]Hugst!$R$4:$W$4,0))))</f>
        <v>0</v>
      </c>
      <c r="AH30">
        <f ca="1">IF($C30-AH$1&lt;År1,0,AG29*(1-VLOOKUP($A30,[1]Hugst!$R$5:$W$9,MATCH(ROUNDUP((AH$1)/10,0)*10,[1]Hugst!$R$4:$W$4,0))))</f>
        <v>0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0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>
        <f ca="1">IF($C31-G$1&lt;År1,0,F30*(1-VLOOKUP($A31,[1]Hugst!$R$5:$W$9,MATCH(ROUNDUP((G$1)/10,0)*10,[1]Hugst!$R$4:$W$4,0))))</f>
        <v>0</v>
      </c>
      <c r="H31">
        <f ca="1">IF($C31-H$1&lt;År1,0,G30*(1-VLOOKUP($A31,[1]Hugst!$R$5:$W$9,MATCH(ROUNDUP((H$1)/10,0)*10,[1]Hugst!$R$4:$W$4,0))))</f>
        <v>0</v>
      </c>
      <c r="I31">
        <f ca="1">IF($C31-I$1&lt;År1,0,H30*(1-VLOOKUP($A31,[1]Hugst!$R$5:$W$9,MATCH(ROUNDUP((I$1)/10,0)*10,[1]Hugst!$R$4:$W$4,0))))</f>
        <v>0</v>
      </c>
      <c r="J31">
        <f ca="1">IF($C31-J$1&lt;År1,0,I30*(1-VLOOKUP($A31,[1]Hugst!$R$5:$W$9,MATCH(ROUNDUP((J$1)/10,0)*10,[1]Hugst!$R$4:$W$4,0))))</f>
        <v>0</v>
      </c>
      <c r="K31">
        <f ca="1">IF($C31-K$1&lt;År1,0,J30*(1-VLOOKUP($A31,[1]Hugst!$R$5:$W$9,MATCH(ROUNDUP((K$1)/10,0)*10,[1]Hugst!$R$4:$W$4,0))))</f>
        <v>0</v>
      </c>
      <c r="L31">
        <f ca="1">IF($C31-L$1&lt;År1,0,K30*(1-VLOOKUP($A31,[1]Hugst!$R$5:$W$9,MATCH(ROUNDUP((L$1)/10,0)*10,[1]Hugst!$R$4:$W$4,0))))</f>
        <v>0</v>
      </c>
      <c r="M31">
        <f ca="1">IF($C31-M$1&lt;År1,0,L30*(1-VLOOKUP($A31,[1]Hugst!$R$5:$W$9,MATCH(ROUNDUP((M$1)/10,0)*10,[1]Hugst!$R$4:$W$4,0))))</f>
        <v>0</v>
      </c>
      <c r="N31">
        <f ca="1">IF($C31-N$1&lt;År1,0,M30*(1-VLOOKUP($A31,[1]Hugst!$R$5:$W$9,MATCH(ROUNDUP((N$1)/10,0)*10,[1]Hugst!$R$4:$W$4,0))))</f>
        <v>0</v>
      </c>
      <c r="O31">
        <f ca="1">IF($C31-O$1&lt;År1,0,N30*(1-VLOOKUP($A31,[1]Hugst!$R$5:$W$9,MATCH(ROUNDUP((O$1)/10,0)*10,[1]Hugst!$R$4:$W$4,0))))</f>
        <v>0</v>
      </c>
      <c r="P31">
        <f ca="1">IF($C31-P$1&lt;År1,0,O30*(1-VLOOKUP($A31,[1]Hugst!$R$5:$W$9,MATCH(ROUNDUP((P$1)/10,0)*10,[1]Hugst!$R$4:$W$4,0))))</f>
        <v>0</v>
      </c>
      <c r="Q31">
        <f ca="1">IF($C31-Q$1&lt;År1,0,P30*(1-VLOOKUP($A31,[1]Hugst!$R$5:$W$9,MATCH(ROUNDUP((Q$1)/10,0)*10,[1]Hugst!$R$4:$W$4,0))))</f>
        <v>0</v>
      </c>
      <c r="R31">
        <f ca="1">IF($C31-R$1&lt;År1,0,Q30*(1-VLOOKUP($A31,[1]Hugst!$R$5:$W$9,MATCH(ROUNDUP((R$1)/10,0)*10,[1]Hugst!$R$4:$W$4,0))))</f>
        <v>0</v>
      </c>
      <c r="S31">
        <f ca="1">IF($C31-S$1&lt;År1,0,R30*(1-VLOOKUP($A31,[1]Hugst!$R$5:$W$9,MATCH(ROUNDUP((S$1)/10,0)*10,[1]Hugst!$R$4:$W$4,0))))</f>
        <v>0</v>
      </c>
      <c r="T31">
        <f ca="1">IF($C31-T$1&lt;År1,0,S30*(1-VLOOKUP($A31,[1]Hugst!$R$5:$W$9,MATCH(ROUNDUP((T$1)/10,0)*10,[1]Hugst!$R$4:$W$4,0))))</f>
        <v>0</v>
      </c>
      <c r="U31">
        <f ca="1">IF($C31-U$1&lt;År1,0,T30*(1-VLOOKUP($A31,[1]Hugst!$R$5:$W$9,MATCH(ROUNDUP((U$1)/10,0)*10,[1]Hugst!$R$4:$W$4,0))))</f>
        <v>0</v>
      </c>
      <c r="V31">
        <f ca="1">IF($C31-V$1&lt;År1,0,U30*(1-VLOOKUP($A31,[1]Hugst!$R$5:$W$9,MATCH(ROUNDUP((V$1)/10,0)*10,[1]Hugst!$R$4:$W$4,0))))</f>
        <v>0</v>
      </c>
      <c r="W31">
        <f ca="1">IF($C31-W$1&lt;År1,0,V30*(1-VLOOKUP($A31,[1]Hugst!$R$5:$W$9,MATCH(ROUNDUP((W$1)/10,0)*10,[1]Hugst!$R$4:$W$4,0))))</f>
        <v>0</v>
      </c>
      <c r="X31">
        <f ca="1">IF($C31-X$1&lt;År1,0,W30*(1-VLOOKUP($A31,[1]Hugst!$R$5:$W$9,MATCH(ROUNDUP((X$1)/10,0)*10,[1]Hugst!$R$4:$W$4,0))))</f>
        <v>0</v>
      </c>
      <c r="Y31">
        <f ca="1">IF($C31-Y$1&lt;År1,0,X30*(1-VLOOKUP($A31,[1]Hugst!$R$5:$W$9,MATCH(ROUNDUP((Y$1)/10,0)*10,[1]Hugst!$R$4:$W$4,0))))</f>
        <v>0</v>
      </c>
      <c r="Z31">
        <f ca="1">IF($C31-Z$1&lt;År1,0,Y30*(1-VLOOKUP($A31,[1]Hugst!$R$5:$W$9,MATCH(ROUNDUP((Z$1)/10,0)*10,[1]Hugst!$R$4:$W$4,0))))</f>
        <v>0</v>
      </c>
      <c r="AA31">
        <f ca="1">IF($C31-AA$1&lt;År1,0,Z30*(1-VLOOKUP($A31,[1]Hugst!$R$5:$W$9,MATCH(ROUNDUP((AA$1)/10,0)*10,[1]Hugst!$R$4:$W$4,0))))</f>
        <v>0</v>
      </c>
      <c r="AB31">
        <f ca="1">IF($C31-AB$1&lt;År1,0,AA30*(1-VLOOKUP($A31,[1]Hugst!$R$5:$W$9,MATCH(ROUNDUP((AB$1)/10,0)*10,[1]Hugst!$R$4:$W$4,0))))</f>
        <v>0</v>
      </c>
      <c r="AC31">
        <f ca="1">IF($C31-AC$1&lt;År1,0,AB30*(1-VLOOKUP($A31,[1]Hugst!$R$5:$W$9,MATCH(ROUNDUP((AC$1)/10,0)*10,[1]Hugst!$R$4:$W$4,0))))</f>
        <v>0</v>
      </c>
      <c r="AD31">
        <f ca="1">IF($C31-AD$1&lt;År1,0,AC30*(1-VLOOKUP($A31,[1]Hugst!$R$5:$W$9,MATCH(ROUNDUP((AD$1)/10,0)*10,[1]Hugst!$R$4:$W$4,0))))</f>
        <v>0</v>
      </c>
      <c r="AE31">
        <f ca="1">IF($C31-AE$1&lt;År1,0,AD30*(1-VLOOKUP($A31,[1]Hugst!$R$5:$W$9,MATCH(ROUNDUP((AE$1)/10,0)*10,[1]Hugst!$R$4:$W$4,0))))</f>
        <v>0</v>
      </c>
      <c r="AF31">
        <f ca="1">IF($C31-AF$1&lt;År1,0,AE30*(1-VLOOKUP($A31,[1]Hugst!$R$5:$W$9,MATCH(ROUNDUP((AF$1)/10,0)*10,[1]Hugst!$R$4:$W$4,0))))</f>
        <v>0</v>
      </c>
      <c r="AG31">
        <f ca="1">IF($C31-AG$1&lt;År1,0,AF30*(1-VLOOKUP($A31,[1]Hugst!$R$5:$W$9,MATCH(ROUNDUP((AG$1)/10,0)*10,[1]Hugst!$R$4:$W$4,0))))</f>
        <v>0</v>
      </c>
      <c r="AH31">
        <f ca="1">IF($C31-AH$1&lt;År1,0,AG30*(1-VLOOKUP($A31,[1]Hugst!$R$5:$W$9,MATCH(ROUNDUP((AH$1)/10,0)*10,[1]Hugst!$R$4:$W$4,0))))</f>
        <v>0</v>
      </c>
      <c r="AI31">
        <f ca="1">IF($C31-AI$1&lt;År1,0,AH30*(1-VLOOKUP($A31,[1]Hugst!$R$5:$W$9,MATCH(ROUNDUP((AI$1)/10,0)*10,[1]Hugst!$R$4:$W$4,0))))</f>
        <v>0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0</v>
      </c>
      <c r="E32">
        <f t="shared" ca="1" si="0"/>
        <v>0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>
        <f ca="1">IF($C32-G$1&lt;År1,0,F31*(1-VLOOKUP($A32,[1]Hugst!$R$5:$W$9,MATCH(ROUNDUP((G$1)/10,0)*10,[1]Hugst!$R$4:$W$4,0))))</f>
        <v>0</v>
      </c>
      <c r="H32">
        <f ca="1">IF($C32-H$1&lt;År1,0,G31*(1-VLOOKUP($A32,[1]Hugst!$R$5:$W$9,MATCH(ROUNDUP((H$1)/10,0)*10,[1]Hugst!$R$4:$W$4,0))))</f>
        <v>0</v>
      </c>
      <c r="I32">
        <f ca="1">IF($C32-I$1&lt;År1,0,H31*(1-VLOOKUP($A32,[1]Hugst!$R$5:$W$9,MATCH(ROUNDUP((I$1)/10,0)*10,[1]Hugst!$R$4:$W$4,0))))</f>
        <v>0</v>
      </c>
      <c r="J32">
        <f ca="1">IF($C32-J$1&lt;År1,0,I31*(1-VLOOKUP($A32,[1]Hugst!$R$5:$W$9,MATCH(ROUNDUP((J$1)/10,0)*10,[1]Hugst!$R$4:$W$4,0))))</f>
        <v>0</v>
      </c>
      <c r="K32">
        <f ca="1">IF($C32-K$1&lt;År1,0,J31*(1-VLOOKUP($A32,[1]Hugst!$R$5:$W$9,MATCH(ROUNDUP((K$1)/10,0)*10,[1]Hugst!$R$4:$W$4,0))))</f>
        <v>0</v>
      </c>
      <c r="L32">
        <f ca="1">IF($C32-L$1&lt;År1,0,K31*(1-VLOOKUP($A32,[1]Hugst!$R$5:$W$9,MATCH(ROUNDUP((L$1)/10,0)*10,[1]Hugst!$R$4:$W$4,0))))</f>
        <v>0</v>
      </c>
      <c r="M32">
        <f ca="1">IF($C32-M$1&lt;År1,0,L31*(1-VLOOKUP($A32,[1]Hugst!$R$5:$W$9,MATCH(ROUNDUP((M$1)/10,0)*10,[1]Hugst!$R$4:$W$4,0))))</f>
        <v>0</v>
      </c>
      <c r="N32">
        <f ca="1">IF($C32-N$1&lt;År1,0,M31*(1-VLOOKUP($A32,[1]Hugst!$R$5:$W$9,MATCH(ROUNDUP((N$1)/10,0)*10,[1]Hugst!$R$4:$W$4,0))))</f>
        <v>0</v>
      </c>
      <c r="O32">
        <f ca="1">IF($C32-O$1&lt;År1,0,N31*(1-VLOOKUP($A32,[1]Hugst!$R$5:$W$9,MATCH(ROUNDUP((O$1)/10,0)*10,[1]Hugst!$R$4:$W$4,0))))</f>
        <v>0</v>
      </c>
      <c r="P32">
        <f ca="1">IF($C32-P$1&lt;År1,0,O31*(1-VLOOKUP($A32,[1]Hugst!$R$5:$W$9,MATCH(ROUNDUP((P$1)/10,0)*10,[1]Hugst!$R$4:$W$4,0))))</f>
        <v>0</v>
      </c>
      <c r="Q32">
        <f ca="1">IF($C32-Q$1&lt;År1,0,P31*(1-VLOOKUP($A32,[1]Hugst!$R$5:$W$9,MATCH(ROUNDUP((Q$1)/10,0)*10,[1]Hugst!$R$4:$W$4,0))))</f>
        <v>0</v>
      </c>
      <c r="R32">
        <f ca="1">IF($C32-R$1&lt;År1,0,Q31*(1-VLOOKUP($A32,[1]Hugst!$R$5:$W$9,MATCH(ROUNDUP((R$1)/10,0)*10,[1]Hugst!$R$4:$W$4,0))))</f>
        <v>0</v>
      </c>
      <c r="S32">
        <f ca="1">IF($C32-S$1&lt;År1,0,R31*(1-VLOOKUP($A32,[1]Hugst!$R$5:$W$9,MATCH(ROUNDUP((S$1)/10,0)*10,[1]Hugst!$R$4:$W$4,0))))</f>
        <v>0</v>
      </c>
      <c r="T32">
        <f ca="1">IF($C32-T$1&lt;År1,0,S31*(1-VLOOKUP($A32,[1]Hugst!$R$5:$W$9,MATCH(ROUNDUP((T$1)/10,0)*10,[1]Hugst!$R$4:$W$4,0))))</f>
        <v>0</v>
      </c>
      <c r="U32">
        <f ca="1">IF($C32-U$1&lt;År1,0,T31*(1-VLOOKUP($A32,[1]Hugst!$R$5:$W$9,MATCH(ROUNDUP((U$1)/10,0)*10,[1]Hugst!$R$4:$W$4,0))))</f>
        <v>0</v>
      </c>
      <c r="V32">
        <f ca="1">IF($C32-V$1&lt;År1,0,U31*(1-VLOOKUP($A32,[1]Hugst!$R$5:$W$9,MATCH(ROUNDUP((V$1)/10,0)*10,[1]Hugst!$R$4:$W$4,0))))</f>
        <v>0</v>
      </c>
      <c r="W32">
        <f ca="1">IF($C32-W$1&lt;År1,0,V31*(1-VLOOKUP($A32,[1]Hugst!$R$5:$W$9,MATCH(ROUNDUP((W$1)/10,0)*10,[1]Hugst!$R$4:$W$4,0))))</f>
        <v>0</v>
      </c>
      <c r="X32">
        <f ca="1">IF($C32-X$1&lt;År1,0,W31*(1-VLOOKUP($A32,[1]Hugst!$R$5:$W$9,MATCH(ROUNDUP((X$1)/10,0)*10,[1]Hugst!$R$4:$W$4,0))))</f>
        <v>0</v>
      </c>
      <c r="Y32">
        <f ca="1">IF($C32-Y$1&lt;År1,0,X31*(1-VLOOKUP($A32,[1]Hugst!$R$5:$W$9,MATCH(ROUNDUP((Y$1)/10,0)*10,[1]Hugst!$R$4:$W$4,0))))</f>
        <v>0</v>
      </c>
      <c r="Z32">
        <f ca="1">IF($C32-Z$1&lt;År1,0,Y31*(1-VLOOKUP($A32,[1]Hugst!$R$5:$W$9,MATCH(ROUNDUP((Z$1)/10,0)*10,[1]Hugst!$R$4:$W$4,0))))</f>
        <v>0</v>
      </c>
      <c r="AA32">
        <f ca="1">IF($C32-AA$1&lt;År1,0,Z31*(1-VLOOKUP($A32,[1]Hugst!$R$5:$W$9,MATCH(ROUNDUP((AA$1)/10,0)*10,[1]Hugst!$R$4:$W$4,0))))</f>
        <v>0</v>
      </c>
      <c r="AB32">
        <f ca="1">IF($C32-AB$1&lt;År1,0,AA31*(1-VLOOKUP($A32,[1]Hugst!$R$5:$W$9,MATCH(ROUNDUP((AB$1)/10,0)*10,[1]Hugst!$R$4:$W$4,0))))</f>
        <v>0</v>
      </c>
      <c r="AC32">
        <f ca="1">IF($C32-AC$1&lt;År1,0,AB31*(1-VLOOKUP($A32,[1]Hugst!$R$5:$W$9,MATCH(ROUNDUP((AC$1)/10,0)*10,[1]Hugst!$R$4:$W$4,0))))</f>
        <v>0</v>
      </c>
      <c r="AD32">
        <f ca="1">IF($C32-AD$1&lt;År1,0,AC31*(1-VLOOKUP($A32,[1]Hugst!$R$5:$W$9,MATCH(ROUNDUP((AD$1)/10,0)*10,[1]Hugst!$R$4:$W$4,0))))</f>
        <v>0</v>
      </c>
      <c r="AE32">
        <f ca="1">IF($C32-AE$1&lt;År1,0,AD31*(1-VLOOKUP($A32,[1]Hugst!$R$5:$W$9,MATCH(ROUNDUP((AE$1)/10,0)*10,[1]Hugst!$R$4:$W$4,0))))</f>
        <v>0</v>
      </c>
      <c r="AF32">
        <f ca="1">IF($C32-AF$1&lt;År1,0,AE31*(1-VLOOKUP($A32,[1]Hugst!$R$5:$W$9,MATCH(ROUNDUP((AF$1)/10,0)*10,[1]Hugst!$R$4:$W$4,0))))</f>
        <v>0</v>
      </c>
      <c r="AG32">
        <f ca="1">IF($C32-AG$1&lt;År1,0,AF31*(1-VLOOKUP($A32,[1]Hugst!$R$5:$W$9,MATCH(ROUNDUP((AG$1)/10,0)*10,[1]Hugst!$R$4:$W$4,0))))</f>
        <v>0</v>
      </c>
      <c r="AH32">
        <f ca="1">IF($C32-AH$1&lt;År1,0,AG31*(1-VLOOKUP($A32,[1]Hugst!$R$5:$W$9,MATCH(ROUNDUP((AH$1)/10,0)*10,[1]Hugst!$R$4:$W$4,0))))</f>
        <v>0</v>
      </c>
      <c r="AI32">
        <f ca="1">IF($C32-AI$1&lt;År1,0,AH31*(1-VLOOKUP($A32,[1]Hugst!$R$5:$W$9,MATCH(ROUNDUP((AI$1)/10,0)*10,[1]Hugst!$R$4:$W$4,0))))</f>
        <v>0</v>
      </c>
      <c r="AJ32">
        <f ca="1">IF($C32-AJ$1&lt;År1,0,AI31*(1-VLOOKUP($A32,[1]Hugst!$R$5:$W$9,MATCH(ROUNDUP((AJ$1)/10,0)*10,[1]Hugst!$R$4:$W$4,0))))</f>
        <v>0</v>
      </c>
      <c r="AL32">
        <f ca="1">SUM(F32:AJ32)</f>
        <v>0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0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0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>
        <f ca="1">IF($C34-G$1&lt;År1,0,F33*(1-VLOOKUP($A34,[1]Hugst!$R$5:$W$9,MATCH(ROUNDUP((G$1)/10,0)*10,[1]Hugst!$R$4:$W$4,0))))</f>
        <v>0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0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>
        <f ca="1">IF($C35-G$1&lt;År1,0,F34*(1-VLOOKUP($A35,[1]Hugst!$R$5:$W$9,MATCH(ROUNDUP((G$1)/10,0)*10,[1]Hugst!$R$4:$W$4,0))))</f>
        <v>0</v>
      </c>
      <c r="H35">
        <f ca="1">IF($C35-H$1&lt;År1,0,G34*(1-VLOOKUP($A35,[1]Hugst!$R$5:$W$9,MATCH(ROUNDUP((H$1)/10,0)*10,[1]Hugst!$R$4:$W$4,0))))</f>
        <v>0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0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>
        <f ca="1">IF($C36-G$1&lt;År1,0,F35*(1-VLOOKUP($A36,[1]Hugst!$R$5:$W$9,MATCH(ROUNDUP((G$1)/10,0)*10,[1]Hugst!$R$4:$W$4,0))))</f>
        <v>0</v>
      </c>
      <c r="H36">
        <f ca="1">IF($C36-H$1&lt;År1,0,G35*(1-VLOOKUP($A36,[1]Hugst!$R$5:$W$9,MATCH(ROUNDUP((H$1)/10,0)*10,[1]Hugst!$R$4:$W$4,0))))</f>
        <v>0</v>
      </c>
      <c r="I36">
        <f ca="1">IF($C36-I$1&lt;År1,0,H35*(1-VLOOKUP($A36,[1]Hugst!$R$5:$W$9,MATCH(ROUNDUP((I$1)/10,0)*10,[1]Hugst!$R$4:$W$4,0))))</f>
        <v>0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0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>
        <f ca="1">IF($C37-G$1&lt;År1,0,F36*(1-VLOOKUP($A37,[1]Hugst!$R$5:$W$9,MATCH(ROUNDUP((G$1)/10,0)*10,[1]Hugst!$R$4:$W$4,0))))</f>
        <v>0</v>
      </c>
      <c r="H37">
        <f ca="1">IF($C37-H$1&lt;År1,0,G36*(1-VLOOKUP($A37,[1]Hugst!$R$5:$W$9,MATCH(ROUNDUP((H$1)/10,0)*10,[1]Hugst!$R$4:$W$4,0))))</f>
        <v>0</v>
      </c>
      <c r="I37">
        <f ca="1">IF($C37-I$1&lt;År1,0,H36*(1-VLOOKUP($A37,[1]Hugst!$R$5:$W$9,MATCH(ROUNDUP((I$1)/10,0)*10,[1]Hugst!$R$4:$W$4,0))))</f>
        <v>0</v>
      </c>
      <c r="J37">
        <f ca="1">IF($C37-J$1&lt;År1,0,I36*(1-VLOOKUP($A37,[1]Hugst!$R$5:$W$9,MATCH(ROUNDUP((J$1)/10,0)*10,[1]Hugst!$R$4:$W$4,0))))</f>
        <v>0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0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>
        <f ca="1">IF($C38-G$1&lt;År1,0,F37*(1-VLOOKUP($A38,[1]Hugst!$R$5:$W$9,MATCH(ROUNDUP((G$1)/10,0)*10,[1]Hugst!$R$4:$W$4,0))))</f>
        <v>0</v>
      </c>
      <c r="H38">
        <f ca="1">IF($C38-H$1&lt;År1,0,G37*(1-VLOOKUP($A38,[1]Hugst!$R$5:$W$9,MATCH(ROUNDUP((H$1)/10,0)*10,[1]Hugst!$R$4:$W$4,0))))</f>
        <v>0</v>
      </c>
      <c r="I38">
        <f ca="1">IF($C38-I$1&lt;År1,0,H37*(1-VLOOKUP($A38,[1]Hugst!$R$5:$W$9,MATCH(ROUNDUP((I$1)/10,0)*10,[1]Hugst!$R$4:$W$4,0))))</f>
        <v>0</v>
      </c>
      <c r="J38">
        <f ca="1">IF($C38-J$1&lt;År1,0,I37*(1-VLOOKUP($A38,[1]Hugst!$R$5:$W$9,MATCH(ROUNDUP((J$1)/10,0)*10,[1]Hugst!$R$4:$W$4,0))))</f>
        <v>0</v>
      </c>
      <c r="K38">
        <f ca="1">IF($C38-K$1&lt;År1,0,J37*(1-VLOOKUP($A38,[1]Hugst!$R$5:$W$9,MATCH(ROUNDUP((K$1)/10,0)*10,[1]Hugst!$R$4:$W$4,0))))</f>
        <v>0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0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>
        <f ca="1">IF($C39-G$1&lt;År1,0,F38*(1-VLOOKUP($A39,[1]Hugst!$R$5:$W$9,MATCH(ROUNDUP((G$1)/10,0)*10,[1]Hugst!$R$4:$W$4,0))))</f>
        <v>0</v>
      </c>
      <c r="H39">
        <f ca="1">IF($C39-H$1&lt;År1,0,G38*(1-VLOOKUP($A39,[1]Hugst!$R$5:$W$9,MATCH(ROUNDUP((H$1)/10,0)*10,[1]Hugst!$R$4:$W$4,0))))</f>
        <v>0</v>
      </c>
      <c r="I39">
        <f ca="1">IF($C39-I$1&lt;År1,0,H38*(1-VLOOKUP($A39,[1]Hugst!$R$5:$W$9,MATCH(ROUNDUP((I$1)/10,0)*10,[1]Hugst!$R$4:$W$4,0))))</f>
        <v>0</v>
      </c>
      <c r="J39">
        <f ca="1">IF($C39-J$1&lt;År1,0,I38*(1-VLOOKUP($A39,[1]Hugst!$R$5:$W$9,MATCH(ROUNDUP((J$1)/10,0)*10,[1]Hugst!$R$4:$W$4,0))))</f>
        <v>0</v>
      </c>
      <c r="K39">
        <f ca="1">IF($C39-K$1&lt;År1,0,J38*(1-VLOOKUP($A39,[1]Hugst!$R$5:$W$9,MATCH(ROUNDUP((K$1)/10,0)*10,[1]Hugst!$R$4:$W$4,0))))</f>
        <v>0</v>
      </c>
      <c r="L39">
        <f ca="1">IF($C39-L$1&lt;År1,0,K38*(1-VLOOKUP($A39,[1]Hugst!$R$5:$W$9,MATCH(ROUNDUP((L$1)/10,0)*10,[1]Hugst!$R$4:$W$4,0))))</f>
        <v>0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0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>
        <f ca="1">IF($C40-G$1&lt;År1,0,F39*(1-VLOOKUP($A40,[1]Hugst!$R$5:$W$9,MATCH(ROUNDUP((G$1)/10,0)*10,[1]Hugst!$R$4:$W$4,0))))</f>
        <v>0</v>
      </c>
      <c r="H40">
        <f ca="1">IF($C40-H$1&lt;År1,0,G39*(1-VLOOKUP($A40,[1]Hugst!$R$5:$W$9,MATCH(ROUNDUP((H$1)/10,0)*10,[1]Hugst!$R$4:$W$4,0))))</f>
        <v>0</v>
      </c>
      <c r="I40">
        <f ca="1">IF($C40-I$1&lt;År1,0,H39*(1-VLOOKUP($A40,[1]Hugst!$R$5:$W$9,MATCH(ROUNDUP((I$1)/10,0)*10,[1]Hugst!$R$4:$W$4,0))))</f>
        <v>0</v>
      </c>
      <c r="J40">
        <f ca="1">IF($C40-J$1&lt;År1,0,I39*(1-VLOOKUP($A40,[1]Hugst!$R$5:$W$9,MATCH(ROUNDUP((J$1)/10,0)*10,[1]Hugst!$R$4:$W$4,0))))</f>
        <v>0</v>
      </c>
      <c r="K40">
        <f ca="1">IF($C40-K$1&lt;År1,0,J39*(1-VLOOKUP($A40,[1]Hugst!$R$5:$W$9,MATCH(ROUNDUP((K$1)/10,0)*10,[1]Hugst!$R$4:$W$4,0))))</f>
        <v>0</v>
      </c>
      <c r="L40">
        <f ca="1">IF($C40-L$1&lt;År1,0,K39*(1-VLOOKUP($A40,[1]Hugst!$R$5:$W$9,MATCH(ROUNDUP((L$1)/10,0)*10,[1]Hugst!$R$4:$W$4,0))))</f>
        <v>0</v>
      </c>
      <c r="M40">
        <f ca="1">IF($C40-M$1&lt;År1,0,L39*(1-VLOOKUP($A40,[1]Hugst!$R$5:$W$9,MATCH(ROUNDUP((M$1)/10,0)*10,[1]Hugst!$R$4:$W$4,0))))</f>
        <v>0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0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>
        <f ca="1">IF($C41-G$1&lt;År1,0,F40*(1-VLOOKUP($A41,[1]Hugst!$R$5:$W$9,MATCH(ROUNDUP((G$1)/10,0)*10,[1]Hugst!$R$4:$W$4,0))))</f>
        <v>0</v>
      </c>
      <c r="H41">
        <f ca="1">IF($C41-H$1&lt;År1,0,G40*(1-VLOOKUP($A41,[1]Hugst!$R$5:$W$9,MATCH(ROUNDUP((H$1)/10,0)*10,[1]Hugst!$R$4:$W$4,0))))</f>
        <v>0</v>
      </c>
      <c r="I41">
        <f ca="1">IF($C41-I$1&lt;År1,0,H40*(1-VLOOKUP($A41,[1]Hugst!$R$5:$W$9,MATCH(ROUNDUP((I$1)/10,0)*10,[1]Hugst!$R$4:$W$4,0))))</f>
        <v>0</v>
      </c>
      <c r="J41">
        <f ca="1">IF($C41-J$1&lt;År1,0,I40*(1-VLOOKUP($A41,[1]Hugst!$R$5:$W$9,MATCH(ROUNDUP((J$1)/10,0)*10,[1]Hugst!$R$4:$W$4,0))))</f>
        <v>0</v>
      </c>
      <c r="K41">
        <f ca="1">IF($C41-K$1&lt;År1,0,J40*(1-VLOOKUP($A41,[1]Hugst!$R$5:$W$9,MATCH(ROUNDUP((K$1)/10,0)*10,[1]Hugst!$R$4:$W$4,0))))</f>
        <v>0</v>
      </c>
      <c r="L41">
        <f ca="1">IF($C41-L$1&lt;År1,0,K40*(1-VLOOKUP($A41,[1]Hugst!$R$5:$W$9,MATCH(ROUNDUP((L$1)/10,0)*10,[1]Hugst!$R$4:$W$4,0))))</f>
        <v>0</v>
      </c>
      <c r="M41">
        <f ca="1">IF($C41-M$1&lt;År1,0,L40*(1-VLOOKUP($A41,[1]Hugst!$R$5:$W$9,MATCH(ROUNDUP((M$1)/10,0)*10,[1]Hugst!$R$4:$W$4,0))))</f>
        <v>0</v>
      </c>
      <c r="N41">
        <f ca="1">IF($C41-N$1&lt;År1,0,M40*(1-VLOOKUP($A41,[1]Hugst!$R$5:$W$9,MATCH(ROUNDUP((N$1)/10,0)*10,[1]Hugst!$R$4:$W$4,0))))</f>
        <v>0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0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>
        <f ca="1">IF($C42-G$1&lt;År1,0,F41*(1-VLOOKUP($A42,[1]Hugst!$R$5:$W$9,MATCH(ROUNDUP((G$1)/10,0)*10,[1]Hugst!$R$4:$W$4,0))))</f>
        <v>0</v>
      </c>
      <c r="H42">
        <f ca="1">IF($C42-H$1&lt;År1,0,G41*(1-VLOOKUP($A42,[1]Hugst!$R$5:$W$9,MATCH(ROUNDUP((H$1)/10,0)*10,[1]Hugst!$R$4:$W$4,0))))</f>
        <v>0</v>
      </c>
      <c r="I42">
        <f ca="1">IF($C42-I$1&lt;År1,0,H41*(1-VLOOKUP($A42,[1]Hugst!$R$5:$W$9,MATCH(ROUNDUP((I$1)/10,0)*10,[1]Hugst!$R$4:$W$4,0))))</f>
        <v>0</v>
      </c>
      <c r="J42">
        <f ca="1">IF($C42-J$1&lt;År1,0,I41*(1-VLOOKUP($A42,[1]Hugst!$R$5:$W$9,MATCH(ROUNDUP((J$1)/10,0)*10,[1]Hugst!$R$4:$W$4,0))))</f>
        <v>0</v>
      </c>
      <c r="K42">
        <f ca="1">IF($C42-K$1&lt;År1,0,J41*(1-VLOOKUP($A42,[1]Hugst!$R$5:$W$9,MATCH(ROUNDUP((K$1)/10,0)*10,[1]Hugst!$R$4:$W$4,0))))</f>
        <v>0</v>
      </c>
      <c r="L42">
        <f ca="1">IF($C42-L$1&lt;År1,0,K41*(1-VLOOKUP($A42,[1]Hugst!$R$5:$W$9,MATCH(ROUNDUP((L$1)/10,0)*10,[1]Hugst!$R$4:$W$4,0))))</f>
        <v>0</v>
      </c>
      <c r="M42">
        <f ca="1">IF($C42-M$1&lt;År1,0,L41*(1-VLOOKUP($A42,[1]Hugst!$R$5:$W$9,MATCH(ROUNDUP((M$1)/10,0)*10,[1]Hugst!$R$4:$W$4,0))))</f>
        <v>0</v>
      </c>
      <c r="N42">
        <f ca="1">IF($C42-N$1&lt;År1,0,M41*(1-VLOOKUP($A42,[1]Hugst!$R$5:$W$9,MATCH(ROUNDUP((N$1)/10,0)*10,[1]Hugst!$R$4:$W$4,0))))</f>
        <v>0</v>
      </c>
      <c r="O42">
        <f ca="1">IF($C42-O$1&lt;År1,0,N41*(1-VLOOKUP($A42,[1]Hugst!$R$5:$W$9,MATCH(ROUNDUP((O$1)/10,0)*10,[1]Hugst!$R$4:$W$4,0))))</f>
        <v>0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0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>
        <f ca="1">IF($C43-G$1&lt;År1,0,F42*(1-VLOOKUP($A43,[1]Hugst!$R$5:$W$9,MATCH(ROUNDUP((G$1)/10,0)*10,[1]Hugst!$R$4:$W$4,0))))</f>
        <v>0</v>
      </c>
      <c r="H43">
        <f ca="1">IF($C43-H$1&lt;År1,0,G42*(1-VLOOKUP($A43,[1]Hugst!$R$5:$W$9,MATCH(ROUNDUP((H$1)/10,0)*10,[1]Hugst!$R$4:$W$4,0))))</f>
        <v>0</v>
      </c>
      <c r="I43">
        <f ca="1">IF($C43-I$1&lt;År1,0,H42*(1-VLOOKUP($A43,[1]Hugst!$R$5:$W$9,MATCH(ROUNDUP((I$1)/10,0)*10,[1]Hugst!$R$4:$W$4,0))))</f>
        <v>0</v>
      </c>
      <c r="J43">
        <f ca="1">IF($C43-J$1&lt;År1,0,I42*(1-VLOOKUP($A43,[1]Hugst!$R$5:$W$9,MATCH(ROUNDUP((J$1)/10,0)*10,[1]Hugst!$R$4:$W$4,0))))</f>
        <v>0</v>
      </c>
      <c r="K43">
        <f ca="1">IF($C43-K$1&lt;År1,0,J42*(1-VLOOKUP($A43,[1]Hugst!$R$5:$W$9,MATCH(ROUNDUP((K$1)/10,0)*10,[1]Hugst!$R$4:$W$4,0))))</f>
        <v>0</v>
      </c>
      <c r="L43">
        <f ca="1">IF($C43-L$1&lt;År1,0,K42*(1-VLOOKUP($A43,[1]Hugst!$R$5:$W$9,MATCH(ROUNDUP((L$1)/10,0)*10,[1]Hugst!$R$4:$W$4,0))))</f>
        <v>0</v>
      </c>
      <c r="M43">
        <f ca="1">IF($C43-M$1&lt;År1,0,L42*(1-VLOOKUP($A43,[1]Hugst!$R$5:$W$9,MATCH(ROUNDUP((M$1)/10,0)*10,[1]Hugst!$R$4:$W$4,0))))</f>
        <v>0</v>
      </c>
      <c r="N43">
        <f ca="1">IF($C43-N$1&lt;År1,0,M42*(1-VLOOKUP($A43,[1]Hugst!$R$5:$W$9,MATCH(ROUNDUP((N$1)/10,0)*10,[1]Hugst!$R$4:$W$4,0))))</f>
        <v>0</v>
      </c>
      <c r="O43">
        <f ca="1">IF($C43-O$1&lt;År1,0,N42*(1-VLOOKUP($A43,[1]Hugst!$R$5:$W$9,MATCH(ROUNDUP((O$1)/10,0)*10,[1]Hugst!$R$4:$W$4,0))))</f>
        <v>0</v>
      </c>
      <c r="P43">
        <f ca="1">IF($C43-P$1&lt;År1,0,O42*(1-VLOOKUP($A43,[1]Hugst!$R$5:$W$9,MATCH(ROUNDUP((P$1)/10,0)*10,[1]Hugst!$R$4:$W$4,0))))</f>
        <v>0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0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>
        <f ca="1">IF($C44-G$1&lt;År1,0,F43*(1-VLOOKUP($A44,[1]Hugst!$R$5:$W$9,MATCH(ROUNDUP((G$1)/10,0)*10,[1]Hugst!$R$4:$W$4,0))))</f>
        <v>0</v>
      </c>
      <c r="H44">
        <f ca="1">IF($C44-H$1&lt;År1,0,G43*(1-VLOOKUP($A44,[1]Hugst!$R$5:$W$9,MATCH(ROUNDUP((H$1)/10,0)*10,[1]Hugst!$R$4:$W$4,0))))</f>
        <v>0</v>
      </c>
      <c r="I44">
        <f ca="1">IF($C44-I$1&lt;År1,0,H43*(1-VLOOKUP($A44,[1]Hugst!$R$5:$W$9,MATCH(ROUNDUP((I$1)/10,0)*10,[1]Hugst!$R$4:$W$4,0))))</f>
        <v>0</v>
      </c>
      <c r="J44">
        <f ca="1">IF($C44-J$1&lt;År1,0,I43*(1-VLOOKUP($A44,[1]Hugst!$R$5:$W$9,MATCH(ROUNDUP((J$1)/10,0)*10,[1]Hugst!$R$4:$W$4,0))))</f>
        <v>0</v>
      </c>
      <c r="K44">
        <f ca="1">IF($C44-K$1&lt;År1,0,J43*(1-VLOOKUP($A44,[1]Hugst!$R$5:$W$9,MATCH(ROUNDUP((K$1)/10,0)*10,[1]Hugst!$R$4:$W$4,0))))</f>
        <v>0</v>
      </c>
      <c r="L44">
        <f ca="1">IF($C44-L$1&lt;År1,0,K43*(1-VLOOKUP($A44,[1]Hugst!$R$5:$W$9,MATCH(ROUNDUP((L$1)/10,0)*10,[1]Hugst!$R$4:$W$4,0))))</f>
        <v>0</v>
      </c>
      <c r="M44">
        <f ca="1">IF($C44-M$1&lt;År1,0,L43*(1-VLOOKUP($A44,[1]Hugst!$R$5:$W$9,MATCH(ROUNDUP((M$1)/10,0)*10,[1]Hugst!$R$4:$W$4,0))))</f>
        <v>0</v>
      </c>
      <c r="N44">
        <f ca="1">IF($C44-N$1&lt;År1,0,M43*(1-VLOOKUP($A44,[1]Hugst!$R$5:$W$9,MATCH(ROUNDUP((N$1)/10,0)*10,[1]Hugst!$R$4:$W$4,0))))</f>
        <v>0</v>
      </c>
      <c r="O44">
        <f ca="1">IF($C44-O$1&lt;År1,0,N43*(1-VLOOKUP($A44,[1]Hugst!$R$5:$W$9,MATCH(ROUNDUP((O$1)/10,0)*10,[1]Hugst!$R$4:$W$4,0))))</f>
        <v>0</v>
      </c>
      <c r="P44">
        <f ca="1">IF($C44-P$1&lt;År1,0,O43*(1-VLOOKUP($A44,[1]Hugst!$R$5:$W$9,MATCH(ROUNDUP((P$1)/10,0)*10,[1]Hugst!$R$4:$W$4,0))))</f>
        <v>0</v>
      </c>
      <c r="Q44">
        <f ca="1">IF($C44-Q$1&lt;År1,0,P43*(1-VLOOKUP($A44,[1]Hugst!$R$5:$W$9,MATCH(ROUNDUP((Q$1)/10,0)*10,[1]Hugst!$R$4:$W$4,0))))</f>
        <v>0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0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>
        <f ca="1">IF($C45-G$1&lt;År1,0,F44*(1-VLOOKUP($A45,[1]Hugst!$R$5:$W$9,MATCH(ROUNDUP((G$1)/10,0)*10,[1]Hugst!$R$4:$W$4,0))))</f>
        <v>0</v>
      </c>
      <c r="H45">
        <f ca="1">IF($C45-H$1&lt;År1,0,G44*(1-VLOOKUP($A45,[1]Hugst!$R$5:$W$9,MATCH(ROUNDUP((H$1)/10,0)*10,[1]Hugst!$R$4:$W$4,0))))</f>
        <v>0</v>
      </c>
      <c r="I45">
        <f ca="1">IF($C45-I$1&lt;År1,0,H44*(1-VLOOKUP($A45,[1]Hugst!$R$5:$W$9,MATCH(ROUNDUP((I$1)/10,0)*10,[1]Hugst!$R$4:$W$4,0))))</f>
        <v>0</v>
      </c>
      <c r="J45">
        <f ca="1">IF($C45-J$1&lt;År1,0,I44*(1-VLOOKUP($A45,[1]Hugst!$R$5:$W$9,MATCH(ROUNDUP((J$1)/10,0)*10,[1]Hugst!$R$4:$W$4,0))))</f>
        <v>0</v>
      </c>
      <c r="K45">
        <f ca="1">IF($C45-K$1&lt;År1,0,J44*(1-VLOOKUP($A45,[1]Hugst!$R$5:$W$9,MATCH(ROUNDUP((K$1)/10,0)*10,[1]Hugst!$R$4:$W$4,0))))</f>
        <v>0</v>
      </c>
      <c r="L45">
        <f ca="1">IF($C45-L$1&lt;År1,0,K44*(1-VLOOKUP($A45,[1]Hugst!$R$5:$W$9,MATCH(ROUNDUP((L$1)/10,0)*10,[1]Hugst!$R$4:$W$4,0))))</f>
        <v>0</v>
      </c>
      <c r="M45">
        <f ca="1">IF($C45-M$1&lt;År1,0,L44*(1-VLOOKUP($A45,[1]Hugst!$R$5:$W$9,MATCH(ROUNDUP((M$1)/10,0)*10,[1]Hugst!$R$4:$W$4,0))))</f>
        <v>0</v>
      </c>
      <c r="N45">
        <f ca="1">IF($C45-N$1&lt;År1,0,M44*(1-VLOOKUP($A45,[1]Hugst!$R$5:$W$9,MATCH(ROUNDUP((N$1)/10,0)*10,[1]Hugst!$R$4:$W$4,0))))</f>
        <v>0</v>
      </c>
      <c r="O45">
        <f ca="1">IF($C45-O$1&lt;År1,0,N44*(1-VLOOKUP($A45,[1]Hugst!$R$5:$W$9,MATCH(ROUNDUP((O$1)/10,0)*10,[1]Hugst!$R$4:$W$4,0))))</f>
        <v>0</v>
      </c>
      <c r="P45">
        <f ca="1">IF($C45-P$1&lt;År1,0,O44*(1-VLOOKUP($A45,[1]Hugst!$R$5:$W$9,MATCH(ROUNDUP((P$1)/10,0)*10,[1]Hugst!$R$4:$W$4,0))))</f>
        <v>0</v>
      </c>
      <c r="Q45">
        <f ca="1">IF($C45-Q$1&lt;År1,0,P44*(1-VLOOKUP($A45,[1]Hugst!$R$5:$W$9,MATCH(ROUNDUP((Q$1)/10,0)*10,[1]Hugst!$R$4:$W$4,0))))</f>
        <v>0</v>
      </c>
      <c r="R45">
        <f ca="1">IF($C45-R$1&lt;År1,0,Q44*(1-VLOOKUP($A45,[1]Hugst!$R$5:$W$9,MATCH(ROUNDUP((R$1)/10,0)*10,[1]Hugst!$R$4:$W$4,0))))</f>
        <v>0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0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>
        <f ca="1">IF($C46-G$1&lt;År1,0,F45*(1-VLOOKUP($A46,[1]Hugst!$R$5:$W$9,MATCH(ROUNDUP((G$1)/10,0)*10,[1]Hugst!$R$4:$W$4,0))))</f>
        <v>0</v>
      </c>
      <c r="H46">
        <f ca="1">IF($C46-H$1&lt;År1,0,G45*(1-VLOOKUP($A46,[1]Hugst!$R$5:$W$9,MATCH(ROUNDUP((H$1)/10,0)*10,[1]Hugst!$R$4:$W$4,0))))</f>
        <v>0</v>
      </c>
      <c r="I46">
        <f ca="1">IF($C46-I$1&lt;År1,0,H45*(1-VLOOKUP($A46,[1]Hugst!$R$5:$W$9,MATCH(ROUNDUP((I$1)/10,0)*10,[1]Hugst!$R$4:$W$4,0))))</f>
        <v>0</v>
      </c>
      <c r="J46">
        <f ca="1">IF($C46-J$1&lt;År1,0,I45*(1-VLOOKUP($A46,[1]Hugst!$R$5:$W$9,MATCH(ROUNDUP((J$1)/10,0)*10,[1]Hugst!$R$4:$W$4,0))))</f>
        <v>0</v>
      </c>
      <c r="K46">
        <f ca="1">IF($C46-K$1&lt;År1,0,J45*(1-VLOOKUP($A46,[1]Hugst!$R$5:$W$9,MATCH(ROUNDUP((K$1)/10,0)*10,[1]Hugst!$R$4:$W$4,0))))</f>
        <v>0</v>
      </c>
      <c r="L46">
        <f ca="1">IF($C46-L$1&lt;År1,0,K45*(1-VLOOKUP($A46,[1]Hugst!$R$5:$W$9,MATCH(ROUNDUP((L$1)/10,0)*10,[1]Hugst!$R$4:$W$4,0))))</f>
        <v>0</v>
      </c>
      <c r="M46">
        <f ca="1">IF($C46-M$1&lt;År1,0,L45*(1-VLOOKUP($A46,[1]Hugst!$R$5:$W$9,MATCH(ROUNDUP((M$1)/10,0)*10,[1]Hugst!$R$4:$W$4,0))))</f>
        <v>0</v>
      </c>
      <c r="N46">
        <f ca="1">IF($C46-N$1&lt;År1,0,M45*(1-VLOOKUP($A46,[1]Hugst!$R$5:$W$9,MATCH(ROUNDUP((N$1)/10,0)*10,[1]Hugst!$R$4:$W$4,0))))</f>
        <v>0</v>
      </c>
      <c r="O46">
        <f ca="1">IF($C46-O$1&lt;År1,0,N45*(1-VLOOKUP($A46,[1]Hugst!$R$5:$W$9,MATCH(ROUNDUP((O$1)/10,0)*10,[1]Hugst!$R$4:$W$4,0))))</f>
        <v>0</v>
      </c>
      <c r="P46">
        <f ca="1">IF($C46-P$1&lt;År1,0,O45*(1-VLOOKUP($A46,[1]Hugst!$R$5:$W$9,MATCH(ROUNDUP((P$1)/10,0)*10,[1]Hugst!$R$4:$W$4,0))))</f>
        <v>0</v>
      </c>
      <c r="Q46">
        <f ca="1">IF($C46-Q$1&lt;År1,0,P45*(1-VLOOKUP($A46,[1]Hugst!$R$5:$W$9,MATCH(ROUNDUP((Q$1)/10,0)*10,[1]Hugst!$R$4:$W$4,0))))</f>
        <v>0</v>
      </c>
      <c r="R46">
        <f ca="1">IF($C46-R$1&lt;År1,0,Q45*(1-VLOOKUP($A46,[1]Hugst!$R$5:$W$9,MATCH(ROUNDUP((R$1)/10,0)*10,[1]Hugst!$R$4:$W$4,0))))</f>
        <v>0</v>
      </c>
      <c r="S46">
        <f ca="1">IF($C46-S$1&lt;År1,0,R45*(1-VLOOKUP($A46,[1]Hugst!$R$5:$W$9,MATCH(ROUNDUP((S$1)/10,0)*10,[1]Hugst!$R$4:$W$4,0))))</f>
        <v>0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0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>
        <f ca="1">IF($C47-G$1&lt;År1,0,F46*(1-VLOOKUP($A47,[1]Hugst!$R$5:$W$9,MATCH(ROUNDUP((G$1)/10,0)*10,[1]Hugst!$R$4:$W$4,0))))</f>
        <v>0</v>
      </c>
      <c r="H47">
        <f ca="1">IF($C47-H$1&lt;År1,0,G46*(1-VLOOKUP($A47,[1]Hugst!$R$5:$W$9,MATCH(ROUNDUP((H$1)/10,0)*10,[1]Hugst!$R$4:$W$4,0))))</f>
        <v>0</v>
      </c>
      <c r="I47">
        <f ca="1">IF($C47-I$1&lt;År1,0,H46*(1-VLOOKUP($A47,[1]Hugst!$R$5:$W$9,MATCH(ROUNDUP((I$1)/10,0)*10,[1]Hugst!$R$4:$W$4,0))))</f>
        <v>0</v>
      </c>
      <c r="J47">
        <f ca="1">IF($C47-J$1&lt;År1,0,I46*(1-VLOOKUP($A47,[1]Hugst!$R$5:$W$9,MATCH(ROUNDUP((J$1)/10,0)*10,[1]Hugst!$R$4:$W$4,0))))</f>
        <v>0</v>
      </c>
      <c r="K47">
        <f ca="1">IF($C47-K$1&lt;År1,0,J46*(1-VLOOKUP($A47,[1]Hugst!$R$5:$W$9,MATCH(ROUNDUP((K$1)/10,0)*10,[1]Hugst!$R$4:$W$4,0))))</f>
        <v>0</v>
      </c>
      <c r="L47">
        <f ca="1">IF($C47-L$1&lt;År1,0,K46*(1-VLOOKUP($A47,[1]Hugst!$R$5:$W$9,MATCH(ROUNDUP((L$1)/10,0)*10,[1]Hugst!$R$4:$W$4,0))))</f>
        <v>0</v>
      </c>
      <c r="M47">
        <f ca="1">IF($C47-M$1&lt;År1,0,L46*(1-VLOOKUP($A47,[1]Hugst!$R$5:$W$9,MATCH(ROUNDUP((M$1)/10,0)*10,[1]Hugst!$R$4:$W$4,0))))</f>
        <v>0</v>
      </c>
      <c r="N47">
        <f ca="1">IF($C47-N$1&lt;År1,0,M46*(1-VLOOKUP($A47,[1]Hugst!$R$5:$W$9,MATCH(ROUNDUP((N$1)/10,0)*10,[1]Hugst!$R$4:$W$4,0))))</f>
        <v>0</v>
      </c>
      <c r="O47">
        <f ca="1">IF($C47-O$1&lt;År1,0,N46*(1-VLOOKUP($A47,[1]Hugst!$R$5:$W$9,MATCH(ROUNDUP((O$1)/10,0)*10,[1]Hugst!$R$4:$W$4,0))))</f>
        <v>0</v>
      </c>
      <c r="P47">
        <f ca="1">IF($C47-P$1&lt;År1,0,O46*(1-VLOOKUP($A47,[1]Hugst!$R$5:$W$9,MATCH(ROUNDUP((P$1)/10,0)*10,[1]Hugst!$R$4:$W$4,0))))</f>
        <v>0</v>
      </c>
      <c r="Q47">
        <f ca="1">IF($C47-Q$1&lt;År1,0,P46*(1-VLOOKUP($A47,[1]Hugst!$R$5:$W$9,MATCH(ROUNDUP((Q$1)/10,0)*10,[1]Hugst!$R$4:$W$4,0))))</f>
        <v>0</v>
      </c>
      <c r="R47">
        <f ca="1">IF($C47-R$1&lt;År1,0,Q46*(1-VLOOKUP($A47,[1]Hugst!$R$5:$W$9,MATCH(ROUNDUP((R$1)/10,0)*10,[1]Hugst!$R$4:$W$4,0))))</f>
        <v>0</v>
      </c>
      <c r="S47">
        <f ca="1">IF($C47-S$1&lt;År1,0,R46*(1-VLOOKUP($A47,[1]Hugst!$R$5:$W$9,MATCH(ROUNDUP((S$1)/10,0)*10,[1]Hugst!$R$4:$W$4,0))))</f>
        <v>0</v>
      </c>
      <c r="T47">
        <f ca="1">IF($C47-T$1&lt;År1,0,S46*(1-VLOOKUP($A47,[1]Hugst!$R$5:$W$9,MATCH(ROUNDUP((T$1)/10,0)*10,[1]Hugst!$R$4:$W$4,0))))</f>
        <v>0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0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>
        <f ca="1">IF($C48-G$1&lt;År1,0,F47*(1-VLOOKUP($A48,[1]Hugst!$R$5:$W$9,MATCH(ROUNDUP((G$1)/10,0)*10,[1]Hugst!$R$4:$W$4,0))))</f>
        <v>0</v>
      </c>
      <c r="H48">
        <f ca="1">IF($C48-H$1&lt;År1,0,G47*(1-VLOOKUP($A48,[1]Hugst!$R$5:$W$9,MATCH(ROUNDUP((H$1)/10,0)*10,[1]Hugst!$R$4:$W$4,0))))</f>
        <v>0</v>
      </c>
      <c r="I48">
        <f ca="1">IF($C48-I$1&lt;År1,0,H47*(1-VLOOKUP($A48,[1]Hugst!$R$5:$W$9,MATCH(ROUNDUP((I$1)/10,0)*10,[1]Hugst!$R$4:$W$4,0))))</f>
        <v>0</v>
      </c>
      <c r="J48">
        <f ca="1">IF($C48-J$1&lt;År1,0,I47*(1-VLOOKUP($A48,[1]Hugst!$R$5:$W$9,MATCH(ROUNDUP((J$1)/10,0)*10,[1]Hugst!$R$4:$W$4,0))))</f>
        <v>0</v>
      </c>
      <c r="K48">
        <f ca="1">IF($C48-K$1&lt;År1,0,J47*(1-VLOOKUP($A48,[1]Hugst!$R$5:$W$9,MATCH(ROUNDUP((K$1)/10,0)*10,[1]Hugst!$R$4:$W$4,0))))</f>
        <v>0</v>
      </c>
      <c r="L48">
        <f ca="1">IF($C48-L$1&lt;År1,0,K47*(1-VLOOKUP($A48,[1]Hugst!$R$5:$W$9,MATCH(ROUNDUP((L$1)/10,0)*10,[1]Hugst!$R$4:$W$4,0))))</f>
        <v>0</v>
      </c>
      <c r="M48">
        <f ca="1">IF($C48-M$1&lt;År1,0,L47*(1-VLOOKUP($A48,[1]Hugst!$R$5:$W$9,MATCH(ROUNDUP((M$1)/10,0)*10,[1]Hugst!$R$4:$W$4,0))))</f>
        <v>0</v>
      </c>
      <c r="N48">
        <f ca="1">IF($C48-N$1&lt;År1,0,M47*(1-VLOOKUP($A48,[1]Hugst!$R$5:$W$9,MATCH(ROUNDUP((N$1)/10,0)*10,[1]Hugst!$R$4:$W$4,0))))</f>
        <v>0</v>
      </c>
      <c r="O48">
        <f ca="1">IF($C48-O$1&lt;År1,0,N47*(1-VLOOKUP($A48,[1]Hugst!$R$5:$W$9,MATCH(ROUNDUP((O$1)/10,0)*10,[1]Hugst!$R$4:$W$4,0))))</f>
        <v>0</v>
      </c>
      <c r="P48">
        <f ca="1">IF($C48-P$1&lt;År1,0,O47*(1-VLOOKUP($A48,[1]Hugst!$R$5:$W$9,MATCH(ROUNDUP((P$1)/10,0)*10,[1]Hugst!$R$4:$W$4,0))))</f>
        <v>0</v>
      </c>
      <c r="Q48">
        <f ca="1">IF($C48-Q$1&lt;År1,0,P47*(1-VLOOKUP($A48,[1]Hugst!$R$5:$W$9,MATCH(ROUNDUP((Q$1)/10,0)*10,[1]Hugst!$R$4:$W$4,0))))</f>
        <v>0</v>
      </c>
      <c r="R48">
        <f ca="1">IF($C48-R$1&lt;År1,0,Q47*(1-VLOOKUP($A48,[1]Hugst!$R$5:$W$9,MATCH(ROUNDUP((R$1)/10,0)*10,[1]Hugst!$R$4:$W$4,0))))</f>
        <v>0</v>
      </c>
      <c r="S48">
        <f ca="1">IF($C48-S$1&lt;År1,0,R47*(1-VLOOKUP($A48,[1]Hugst!$R$5:$W$9,MATCH(ROUNDUP((S$1)/10,0)*10,[1]Hugst!$R$4:$W$4,0))))</f>
        <v>0</v>
      </c>
      <c r="T48">
        <f ca="1">IF($C48-T$1&lt;År1,0,S47*(1-VLOOKUP($A48,[1]Hugst!$R$5:$W$9,MATCH(ROUNDUP((T$1)/10,0)*10,[1]Hugst!$R$4:$W$4,0))))</f>
        <v>0</v>
      </c>
      <c r="U48">
        <f ca="1">IF($C48-U$1&lt;År1,0,T47*(1-VLOOKUP($A48,[1]Hugst!$R$5:$W$9,MATCH(ROUNDUP((U$1)/10,0)*10,[1]Hugst!$R$4:$W$4,0))))</f>
        <v>0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0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>
        <f ca="1">IF($C49-G$1&lt;År1,0,F48*(1-VLOOKUP($A49,[1]Hugst!$R$5:$W$9,MATCH(ROUNDUP((G$1)/10,0)*10,[1]Hugst!$R$4:$W$4,0))))</f>
        <v>0</v>
      </c>
      <c r="H49">
        <f ca="1">IF($C49-H$1&lt;År1,0,G48*(1-VLOOKUP($A49,[1]Hugst!$R$5:$W$9,MATCH(ROUNDUP((H$1)/10,0)*10,[1]Hugst!$R$4:$W$4,0))))</f>
        <v>0</v>
      </c>
      <c r="I49">
        <f ca="1">IF($C49-I$1&lt;År1,0,H48*(1-VLOOKUP($A49,[1]Hugst!$R$5:$W$9,MATCH(ROUNDUP((I$1)/10,0)*10,[1]Hugst!$R$4:$W$4,0))))</f>
        <v>0</v>
      </c>
      <c r="J49">
        <f ca="1">IF($C49-J$1&lt;År1,0,I48*(1-VLOOKUP($A49,[1]Hugst!$R$5:$W$9,MATCH(ROUNDUP((J$1)/10,0)*10,[1]Hugst!$R$4:$W$4,0))))</f>
        <v>0</v>
      </c>
      <c r="K49">
        <f ca="1">IF($C49-K$1&lt;År1,0,J48*(1-VLOOKUP($A49,[1]Hugst!$R$5:$W$9,MATCH(ROUNDUP((K$1)/10,0)*10,[1]Hugst!$R$4:$W$4,0))))</f>
        <v>0</v>
      </c>
      <c r="L49">
        <f ca="1">IF($C49-L$1&lt;År1,0,K48*(1-VLOOKUP($A49,[1]Hugst!$R$5:$W$9,MATCH(ROUNDUP((L$1)/10,0)*10,[1]Hugst!$R$4:$W$4,0))))</f>
        <v>0</v>
      </c>
      <c r="M49">
        <f ca="1">IF($C49-M$1&lt;År1,0,L48*(1-VLOOKUP($A49,[1]Hugst!$R$5:$W$9,MATCH(ROUNDUP((M$1)/10,0)*10,[1]Hugst!$R$4:$W$4,0))))</f>
        <v>0</v>
      </c>
      <c r="N49">
        <f ca="1">IF($C49-N$1&lt;År1,0,M48*(1-VLOOKUP($A49,[1]Hugst!$R$5:$W$9,MATCH(ROUNDUP((N$1)/10,0)*10,[1]Hugst!$R$4:$W$4,0))))</f>
        <v>0</v>
      </c>
      <c r="O49">
        <f ca="1">IF($C49-O$1&lt;År1,0,N48*(1-VLOOKUP($A49,[1]Hugst!$R$5:$W$9,MATCH(ROUNDUP((O$1)/10,0)*10,[1]Hugst!$R$4:$W$4,0))))</f>
        <v>0</v>
      </c>
      <c r="P49">
        <f ca="1">IF($C49-P$1&lt;År1,0,O48*(1-VLOOKUP($A49,[1]Hugst!$R$5:$W$9,MATCH(ROUNDUP((P$1)/10,0)*10,[1]Hugst!$R$4:$W$4,0))))</f>
        <v>0</v>
      </c>
      <c r="Q49">
        <f ca="1">IF($C49-Q$1&lt;År1,0,P48*(1-VLOOKUP($A49,[1]Hugst!$R$5:$W$9,MATCH(ROUNDUP((Q$1)/10,0)*10,[1]Hugst!$R$4:$W$4,0))))</f>
        <v>0</v>
      </c>
      <c r="R49">
        <f ca="1">IF($C49-R$1&lt;År1,0,Q48*(1-VLOOKUP($A49,[1]Hugst!$R$5:$W$9,MATCH(ROUNDUP((R$1)/10,0)*10,[1]Hugst!$R$4:$W$4,0))))</f>
        <v>0</v>
      </c>
      <c r="S49">
        <f ca="1">IF($C49-S$1&lt;År1,0,R48*(1-VLOOKUP($A49,[1]Hugst!$R$5:$W$9,MATCH(ROUNDUP((S$1)/10,0)*10,[1]Hugst!$R$4:$W$4,0))))</f>
        <v>0</v>
      </c>
      <c r="T49">
        <f ca="1">IF($C49-T$1&lt;År1,0,S48*(1-VLOOKUP($A49,[1]Hugst!$R$5:$W$9,MATCH(ROUNDUP((T$1)/10,0)*10,[1]Hugst!$R$4:$W$4,0))))</f>
        <v>0</v>
      </c>
      <c r="U49">
        <f ca="1">IF($C49-U$1&lt;År1,0,T48*(1-VLOOKUP($A49,[1]Hugst!$R$5:$W$9,MATCH(ROUNDUP((U$1)/10,0)*10,[1]Hugst!$R$4:$W$4,0))))</f>
        <v>0</v>
      </c>
      <c r="V49">
        <f ca="1">IF($C49-V$1&lt;År1,0,U48*(1-VLOOKUP($A49,[1]Hugst!$R$5:$W$9,MATCH(ROUNDUP((V$1)/10,0)*10,[1]Hugst!$R$4:$W$4,0))))</f>
        <v>0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0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>
        <f ca="1">IF($C50-G$1&lt;År1,0,F49*(1-VLOOKUP($A50,[1]Hugst!$R$5:$W$9,MATCH(ROUNDUP((G$1)/10,0)*10,[1]Hugst!$R$4:$W$4,0))))</f>
        <v>0</v>
      </c>
      <c r="H50">
        <f ca="1">IF($C50-H$1&lt;År1,0,G49*(1-VLOOKUP($A50,[1]Hugst!$R$5:$W$9,MATCH(ROUNDUP((H$1)/10,0)*10,[1]Hugst!$R$4:$W$4,0))))</f>
        <v>0</v>
      </c>
      <c r="I50">
        <f ca="1">IF($C50-I$1&lt;År1,0,H49*(1-VLOOKUP($A50,[1]Hugst!$R$5:$W$9,MATCH(ROUNDUP((I$1)/10,0)*10,[1]Hugst!$R$4:$W$4,0))))</f>
        <v>0</v>
      </c>
      <c r="J50">
        <f ca="1">IF($C50-J$1&lt;År1,0,I49*(1-VLOOKUP($A50,[1]Hugst!$R$5:$W$9,MATCH(ROUNDUP((J$1)/10,0)*10,[1]Hugst!$R$4:$W$4,0))))</f>
        <v>0</v>
      </c>
      <c r="K50">
        <f ca="1">IF($C50-K$1&lt;År1,0,J49*(1-VLOOKUP($A50,[1]Hugst!$R$5:$W$9,MATCH(ROUNDUP((K$1)/10,0)*10,[1]Hugst!$R$4:$W$4,0))))</f>
        <v>0</v>
      </c>
      <c r="L50">
        <f ca="1">IF($C50-L$1&lt;År1,0,K49*(1-VLOOKUP($A50,[1]Hugst!$R$5:$W$9,MATCH(ROUNDUP((L$1)/10,0)*10,[1]Hugst!$R$4:$W$4,0))))</f>
        <v>0</v>
      </c>
      <c r="M50">
        <f ca="1">IF($C50-M$1&lt;År1,0,L49*(1-VLOOKUP($A50,[1]Hugst!$R$5:$W$9,MATCH(ROUNDUP((M$1)/10,0)*10,[1]Hugst!$R$4:$W$4,0))))</f>
        <v>0</v>
      </c>
      <c r="N50">
        <f ca="1">IF($C50-N$1&lt;År1,0,M49*(1-VLOOKUP($A50,[1]Hugst!$R$5:$W$9,MATCH(ROUNDUP((N$1)/10,0)*10,[1]Hugst!$R$4:$W$4,0))))</f>
        <v>0</v>
      </c>
      <c r="O50">
        <f ca="1">IF($C50-O$1&lt;År1,0,N49*(1-VLOOKUP($A50,[1]Hugst!$R$5:$W$9,MATCH(ROUNDUP((O$1)/10,0)*10,[1]Hugst!$R$4:$W$4,0))))</f>
        <v>0</v>
      </c>
      <c r="P50">
        <f ca="1">IF($C50-P$1&lt;År1,0,O49*(1-VLOOKUP($A50,[1]Hugst!$R$5:$W$9,MATCH(ROUNDUP((P$1)/10,0)*10,[1]Hugst!$R$4:$W$4,0))))</f>
        <v>0</v>
      </c>
      <c r="Q50">
        <f ca="1">IF($C50-Q$1&lt;År1,0,P49*(1-VLOOKUP($A50,[1]Hugst!$R$5:$W$9,MATCH(ROUNDUP((Q$1)/10,0)*10,[1]Hugst!$R$4:$W$4,0))))</f>
        <v>0</v>
      </c>
      <c r="R50">
        <f ca="1">IF($C50-R$1&lt;År1,0,Q49*(1-VLOOKUP($A50,[1]Hugst!$R$5:$W$9,MATCH(ROUNDUP((R$1)/10,0)*10,[1]Hugst!$R$4:$W$4,0))))</f>
        <v>0</v>
      </c>
      <c r="S50">
        <f ca="1">IF($C50-S$1&lt;År1,0,R49*(1-VLOOKUP($A50,[1]Hugst!$R$5:$W$9,MATCH(ROUNDUP((S$1)/10,0)*10,[1]Hugst!$R$4:$W$4,0))))</f>
        <v>0</v>
      </c>
      <c r="T50">
        <f ca="1">IF($C50-T$1&lt;År1,0,S49*(1-VLOOKUP($A50,[1]Hugst!$R$5:$W$9,MATCH(ROUNDUP((T$1)/10,0)*10,[1]Hugst!$R$4:$W$4,0))))</f>
        <v>0</v>
      </c>
      <c r="U50">
        <f ca="1">IF($C50-U$1&lt;År1,0,T49*(1-VLOOKUP($A50,[1]Hugst!$R$5:$W$9,MATCH(ROUNDUP((U$1)/10,0)*10,[1]Hugst!$R$4:$W$4,0))))</f>
        <v>0</v>
      </c>
      <c r="V50">
        <f ca="1">IF($C50-V$1&lt;År1,0,U49*(1-VLOOKUP($A50,[1]Hugst!$R$5:$W$9,MATCH(ROUNDUP((V$1)/10,0)*10,[1]Hugst!$R$4:$W$4,0))))</f>
        <v>0</v>
      </c>
      <c r="W50">
        <f ca="1">IF($C50-W$1&lt;År1,0,V49*(1-VLOOKUP($A50,[1]Hugst!$R$5:$W$9,MATCH(ROUNDUP((W$1)/10,0)*10,[1]Hugst!$R$4:$W$4,0))))</f>
        <v>0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0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>
        <f ca="1">IF($C51-G$1&lt;År1,0,F50*(1-VLOOKUP($A51,[1]Hugst!$R$5:$W$9,MATCH(ROUNDUP((G$1)/10,0)*10,[1]Hugst!$R$4:$W$4,0))))</f>
        <v>0</v>
      </c>
      <c r="H51">
        <f ca="1">IF($C51-H$1&lt;År1,0,G50*(1-VLOOKUP($A51,[1]Hugst!$R$5:$W$9,MATCH(ROUNDUP((H$1)/10,0)*10,[1]Hugst!$R$4:$W$4,0))))</f>
        <v>0</v>
      </c>
      <c r="I51">
        <f ca="1">IF($C51-I$1&lt;År1,0,H50*(1-VLOOKUP($A51,[1]Hugst!$R$5:$W$9,MATCH(ROUNDUP((I$1)/10,0)*10,[1]Hugst!$R$4:$W$4,0))))</f>
        <v>0</v>
      </c>
      <c r="J51">
        <f ca="1">IF($C51-J$1&lt;År1,0,I50*(1-VLOOKUP($A51,[1]Hugst!$R$5:$W$9,MATCH(ROUNDUP((J$1)/10,0)*10,[1]Hugst!$R$4:$W$4,0))))</f>
        <v>0</v>
      </c>
      <c r="K51">
        <f ca="1">IF($C51-K$1&lt;År1,0,J50*(1-VLOOKUP($A51,[1]Hugst!$R$5:$W$9,MATCH(ROUNDUP((K$1)/10,0)*10,[1]Hugst!$R$4:$W$4,0))))</f>
        <v>0</v>
      </c>
      <c r="L51">
        <f ca="1">IF($C51-L$1&lt;År1,0,K50*(1-VLOOKUP($A51,[1]Hugst!$R$5:$W$9,MATCH(ROUNDUP((L$1)/10,0)*10,[1]Hugst!$R$4:$W$4,0))))</f>
        <v>0</v>
      </c>
      <c r="M51">
        <f ca="1">IF($C51-M$1&lt;År1,0,L50*(1-VLOOKUP($A51,[1]Hugst!$R$5:$W$9,MATCH(ROUNDUP((M$1)/10,0)*10,[1]Hugst!$R$4:$W$4,0))))</f>
        <v>0</v>
      </c>
      <c r="N51">
        <f ca="1">IF($C51-N$1&lt;År1,0,M50*(1-VLOOKUP($A51,[1]Hugst!$R$5:$W$9,MATCH(ROUNDUP((N$1)/10,0)*10,[1]Hugst!$R$4:$W$4,0))))</f>
        <v>0</v>
      </c>
      <c r="O51">
        <f ca="1">IF($C51-O$1&lt;År1,0,N50*(1-VLOOKUP($A51,[1]Hugst!$R$5:$W$9,MATCH(ROUNDUP((O$1)/10,0)*10,[1]Hugst!$R$4:$W$4,0))))</f>
        <v>0</v>
      </c>
      <c r="P51">
        <f ca="1">IF($C51-P$1&lt;År1,0,O50*(1-VLOOKUP($A51,[1]Hugst!$R$5:$W$9,MATCH(ROUNDUP((P$1)/10,0)*10,[1]Hugst!$R$4:$W$4,0))))</f>
        <v>0</v>
      </c>
      <c r="Q51">
        <f ca="1">IF($C51-Q$1&lt;År1,0,P50*(1-VLOOKUP($A51,[1]Hugst!$R$5:$W$9,MATCH(ROUNDUP((Q$1)/10,0)*10,[1]Hugst!$R$4:$W$4,0))))</f>
        <v>0</v>
      </c>
      <c r="R51">
        <f ca="1">IF($C51-R$1&lt;År1,0,Q50*(1-VLOOKUP($A51,[1]Hugst!$R$5:$W$9,MATCH(ROUNDUP((R$1)/10,0)*10,[1]Hugst!$R$4:$W$4,0))))</f>
        <v>0</v>
      </c>
      <c r="S51">
        <f ca="1">IF($C51-S$1&lt;År1,0,R50*(1-VLOOKUP($A51,[1]Hugst!$R$5:$W$9,MATCH(ROUNDUP((S$1)/10,0)*10,[1]Hugst!$R$4:$W$4,0))))</f>
        <v>0</v>
      </c>
      <c r="T51">
        <f ca="1">IF($C51-T$1&lt;År1,0,S50*(1-VLOOKUP($A51,[1]Hugst!$R$5:$W$9,MATCH(ROUNDUP((T$1)/10,0)*10,[1]Hugst!$R$4:$W$4,0))))</f>
        <v>0</v>
      </c>
      <c r="U51">
        <f ca="1">IF($C51-U$1&lt;År1,0,T50*(1-VLOOKUP($A51,[1]Hugst!$R$5:$W$9,MATCH(ROUNDUP((U$1)/10,0)*10,[1]Hugst!$R$4:$W$4,0))))</f>
        <v>0</v>
      </c>
      <c r="V51">
        <f ca="1">IF($C51-V$1&lt;År1,0,U50*(1-VLOOKUP($A51,[1]Hugst!$R$5:$W$9,MATCH(ROUNDUP((V$1)/10,0)*10,[1]Hugst!$R$4:$W$4,0))))</f>
        <v>0</v>
      </c>
      <c r="W51">
        <f ca="1">IF($C51-W$1&lt;År1,0,V50*(1-VLOOKUP($A51,[1]Hugst!$R$5:$W$9,MATCH(ROUNDUP((W$1)/10,0)*10,[1]Hugst!$R$4:$W$4,0))))</f>
        <v>0</v>
      </c>
      <c r="X51">
        <f ca="1">IF($C51-X$1&lt;År1,0,W50*(1-VLOOKUP($A51,[1]Hugst!$R$5:$W$9,MATCH(ROUNDUP((X$1)/10,0)*10,[1]Hugst!$R$4:$W$4,0))))</f>
        <v>0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0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>
        <f ca="1">IF($C52-G$1&lt;År1,0,F51*(1-VLOOKUP($A52,[1]Hugst!$R$5:$W$9,MATCH(ROUNDUP((G$1)/10,0)*10,[1]Hugst!$R$4:$W$4,0))))</f>
        <v>0</v>
      </c>
      <c r="H52">
        <f ca="1">IF($C52-H$1&lt;År1,0,G51*(1-VLOOKUP($A52,[1]Hugst!$R$5:$W$9,MATCH(ROUNDUP((H$1)/10,0)*10,[1]Hugst!$R$4:$W$4,0))))</f>
        <v>0</v>
      </c>
      <c r="I52">
        <f ca="1">IF($C52-I$1&lt;År1,0,H51*(1-VLOOKUP($A52,[1]Hugst!$R$5:$W$9,MATCH(ROUNDUP((I$1)/10,0)*10,[1]Hugst!$R$4:$W$4,0))))</f>
        <v>0</v>
      </c>
      <c r="J52">
        <f ca="1">IF($C52-J$1&lt;År1,0,I51*(1-VLOOKUP($A52,[1]Hugst!$R$5:$W$9,MATCH(ROUNDUP((J$1)/10,0)*10,[1]Hugst!$R$4:$W$4,0))))</f>
        <v>0</v>
      </c>
      <c r="K52">
        <f ca="1">IF($C52-K$1&lt;År1,0,J51*(1-VLOOKUP($A52,[1]Hugst!$R$5:$W$9,MATCH(ROUNDUP((K$1)/10,0)*10,[1]Hugst!$R$4:$W$4,0))))</f>
        <v>0</v>
      </c>
      <c r="L52">
        <f ca="1">IF($C52-L$1&lt;År1,0,K51*(1-VLOOKUP($A52,[1]Hugst!$R$5:$W$9,MATCH(ROUNDUP((L$1)/10,0)*10,[1]Hugst!$R$4:$W$4,0))))</f>
        <v>0</v>
      </c>
      <c r="M52">
        <f ca="1">IF($C52-M$1&lt;År1,0,L51*(1-VLOOKUP($A52,[1]Hugst!$R$5:$W$9,MATCH(ROUNDUP((M$1)/10,0)*10,[1]Hugst!$R$4:$W$4,0))))</f>
        <v>0</v>
      </c>
      <c r="N52">
        <f ca="1">IF($C52-N$1&lt;År1,0,M51*(1-VLOOKUP($A52,[1]Hugst!$R$5:$W$9,MATCH(ROUNDUP((N$1)/10,0)*10,[1]Hugst!$R$4:$W$4,0))))</f>
        <v>0</v>
      </c>
      <c r="O52">
        <f ca="1">IF($C52-O$1&lt;År1,0,N51*(1-VLOOKUP($A52,[1]Hugst!$R$5:$W$9,MATCH(ROUNDUP((O$1)/10,0)*10,[1]Hugst!$R$4:$W$4,0))))</f>
        <v>0</v>
      </c>
      <c r="P52">
        <f ca="1">IF($C52-P$1&lt;År1,0,O51*(1-VLOOKUP($A52,[1]Hugst!$R$5:$W$9,MATCH(ROUNDUP((P$1)/10,0)*10,[1]Hugst!$R$4:$W$4,0))))</f>
        <v>0</v>
      </c>
      <c r="Q52">
        <f ca="1">IF($C52-Q$1&lt;År1,0,P51*(1-VLOOKUP($A52,[1]Hugst!$R$5:$W$9,MATCH(ROUNDUP((Q$1)/10,0)*10,[1]Hugst!$R$4:$W$4,0))))</f>
        <v>0</v>
      </c>
      <c r="R52">
        <f ca="1">IF($C52-R$1&lt;År1,0,Q51*(1-VLOOKUP($A52,[1]Hugst!$R$5:$W$9,MATCH(ROUNDUP((R$1)/10,0)*10,[1]Hugst!$R$4:$W$4,0))))</f>
        <v>0</v>
      </c>
      <c r="S52">
        <f ca="1">IF($C52-S$1&lt;År1,0,R51*(1-VLOOKUP($A52,[1]Hugst!$R$5:$W$9,MATCH(ROUNDUP((S$1)/10,0)*10,[1]Hugst!$R$4:$W$4,0))))</f>
        <v>0</v>
      </c>
      <c r="T52">
        <f ca="1">IF($C52-T$1&lt;År1,0,S51*(1-VLOOKUP($A52,[1]Hugst!$R$5:$W$9,MATCH(ROUNDUP((T$1)/10,0)*10,[1]Hugst!$R$4:$W$4,0))))</f>
        <v>0</v>
      </c>
      <c r="U52">
        <f ca="1">IF($C52-U$1&lt;År1,0,T51*(1-VLOOKUP($A52,[1]Hugst!$R$5:$W$9,MATCH(ROUNDUP((U$1)/10,0)*10,[1]Hugst!$R$4:$W$4,0))))</f>
        <v>0</v>
      </c>
      <c r="V52">
        <f ca="1">IF($C52-V$1&lt;År1,0,U51*(1-VLOOKUP($A52,[1]Hugst!$R$5:$W$9,MATCH(ROUNDUP((V$1)/10,0)*10,[1]Hugst!$R$4:$W$4,0))))</f>
        <v>0</v>
      </c>
      <c r="W52">
        <f ca="1">IF($C52-W$1&lt;År1,0,V51*(1-VLOOKUP($A52,[1]Hugst!$R$5:$W$9,MATCH(ROUNDUP((W$1)/10,0)*10,[1]Hugst!$R$4:$W$4,0))))</f>
        <v>0</v>
      </c>
      <c r="X52">
        <f ca="1">IF($C52-X$1&lt;År1,0,W51*(1-VLOOKUP($A52,[1]Hugst!$R$5:$W$9,MATCH(ROUNDUP((X$1)/10,0)*10,[1]Hugst!$R$4:$W$4,0))))</f>
        <v>0</v>
      </c>
      <c r="Y52">
        <f ca="1">IF($C52-Y$1&lt;År1,0,X51*(1-VLOOKUP($A52,[1]Hugst!$R$5:$W$9,MATCH(ROUNDUP((Y$1)/10,0)*10,[1]Hugst!$R$4:$W$4,0))))</f>
        <v>0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0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>
        <f ca="1">IF($C53-G$1&lt;År1,0,F52*(1-VLOOKUP($A53,[1]Hugst!$R$5:$W$9,MATCH(ROUNDUP((G$1)/10,0)*10,[1]Hugst!$R$4:$W$4,0))))</f>
        <v>0</v>
      </c>
      <c r="H53">
        <f ca="1">IF($C53-H$1&lt;År1,0,G52*(1-VLOOKUP($A53,[1]Hugst!$R$5:$W$9,MATCH(ROUNDUP((H$1)/10,0)*10,[1]Hugst!$R$4:$W$4,0))))</f>
        <v>0</v>
      </c>
      <c r="I53">
        <f ca="1">IF($C53-I$1&lt;År1,0,H52*(1-VLOOKUP($A53,[1]Hugst!$R$5:$W$9,MATCH(ROUNDUP((I$1)/10,0)*10,[1]Hugst!$R$4:$W$4,0))))</f>
        <v>0</v>
      </c>
      <c r="J53">
        <f ca="1">IF($C53-J$1&lt;År1,0,I52*(1-VLOOKUP($A53,[1]Hugst!$R$5:$W$9,MATCH(ROUNDUP((J$1)/10,0)*10,[1]Hugst!$R$4:$W$4,0))))</f>
        <v>0</v>
      </c>
      <c r="K53">
        <f ca="1">IF($C53-K$1&lt;År1,0,J52*(1-VLOOKUP($A53,[1]Hugst!$R$5:$W$9,MATCH(ROUNDUP((K$1)/10,0)*10,[1]Hugst!$R$4:$W$4,0))))</f>
        <v>0</v>
      </c>
      <c r="L53">
        <f ca="1">IF($C53-L$1&lt;År1,0,K52*(1-VLOOKUP($A53,[1]Hugst!$R$5:$W$9,MATCH(ROUNDUP((L$1)/10,0)*10,[1]Hugst!$R$4:$W$4,0))))</f>
        <v>0</v>
      </c>
      <c r="M53">
        <f ca="1">IF($C53-M$1&lt;År1,0,L52*(1-VLOOKUP($A53,[1]Hugst!$R$5:$W$9,MATCH(ROUNDUP((M$1)/10,0)*10,[1]Hugst!$R$4:$W$4,0))))</f>
        <v>0</v>
      </c>
      <c r="N53">
        <f ca="1">IF($C53-N$1&lt;År1,0,M52*(1-VLOOKUP($A53,[1]Hugst!$R$5:$W$9,MATCH(ROUNDUP((N$1)/10,0)*10,[1]Hugst!$R$4:$W$4,0))))</f>
        <v>0</v>
      </c>
      <c r="O53">
        <f ca="1">IF($C53-O$1&lt;År1,0,N52*(1-VLOOKUP($A53,[1]Hugst!$R$5:$W$9,MATCH(ROUNDUP((O$1)/10,0)*10,[1]Hugst!$R$4:$W$4,0))))</f>
        <v>0</v>
      </c>
      <c r="P53">
        <f ca="1">IF($C53-P$1&lt;År1,0,O52*(1-VLOOKUP($A53,[1]Hugst!$R$5:$W$9,MATCH(ROUNDUP((P$1)/10,0)*10,[1]Hugst!$R$4:$W$4,0))))</f>
        <v>0</v>
      </c>
      <c r="Q53">
        <f ca="1">IF($C53-Q$1&lt;År1,0,P52*(1-VLOOKUP($A53,[1]Hugst!$R$5:$W$9,MATCH(ROUNDUP((Q$1)/10,0)*10,[1]Hugst!$R$4:$W$4,0))))</f>
        <v>0</v>
      </c>
      <c r="R53">
        <f ca="1">IF($C53-R$1&lt;År1,0,Q52*(1-VLOOKUP($A53,[1]Hugst!$R$5:$W$9,MATCH(ROUNDUP((R$1)/10,0)*10,[1]Hugst!$R$4:$W$4,0))))</f>
        <v>0</v>
      </c>
      <c r="S53">
        <f ca="1">IF($C53-S$1&lt;År1,0,R52*(1-VLOOKUP($A53,[1]Hugst!$R$5:$W$9,MATCH(ROUNDUP((S$1)/10,0)*10,[1]Hugst!$R$4:$W$4,0))))</f>
        <v>0</v>
      </c>
      <c r="T53">
        <f ca="1">IF($C53-T$1&lt;År1,0,S52*(1-VLOOKUP($A53,[1]Hugst!$R$5:$W$9,MATCH(ROUNDUP((T$1)/10,0)*10,[1]Hugst!$R$4:$W$4,0))))</f>
        <v>0</v>
      </c>
      <c r="U53">
        <f ca="1">IF($C53-U$1&lt;År1,0,T52*(1-VLOOKUP($A53,[1]Hugst!$R$5:$W$9,MATCH(ROUNDUP((U$1)/10,0)*10,[1]Hugst!$R$4:$W$4,0))))</f>
        <v>0</v>
      </c>
      <c r="V53">
        <f ca="1">IF($C53-V$1&lt;År1,0,U52*(1-VLOOKUP($A53,[1]Hugst!$R$5:$W$9,MATCH(ROUNDUP((V$1)/10,0)*10,[1]Hugst!$R$4:$W$4,0))))</f>
        <v>0</v>
      </c>
      <c r="W53">
        <f ca="1">IF($C53-W$1&lt;År1,0,V52*(1-VLOOKUP($A53,[1]Hugst!$R$5:$W$9,MATCH(ROUNDUP((W$1)/10,0)*10,[1]Hugst!$R$4:$W$4,0))))</f>
        <v>0</v>
      </c>
      <c r="X53">
        <f ca="1">IF($C53-X$1&lt;År1,0,W52*(1-VLOOKUP($A53,[1]Hugst!$R$5:$W$9,MATCH(ROUNDUP((X$1)/10,0)*10,[1]Hugst!$R$4:$W$4,0))))</f>
        <v>0</v>
      </c>
      <c r="Y53">
        <f ca="1">IF($C53-Y$1&lt;År1,0,X52*(1-VLOOKUP($A53,[1]Hugst!$R$5:$W$9,MATCH(ROUNDUP((Y$1)/10,0)*10,[1]Hugst!$R$4:$W$4,0))))</f>
        <v>0</v>
      </c>
      <c r="Z53">
        <f ca="1">IF($C53-Z$1&lt;År1,0,Y52*(1-VLOOKUP($A53,[1]Hugst!$R$5:$W$9,MATCH(ROUNDUP((Z$1)/10,0)*10,[1]Hugst!$R$4:$W$4,0))))</f>
        <v>0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0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>
        <f ca="1">IF($C54-G$1&lt;År1,0,F53*(1-VLOOKUP($A54,[1]Hugst!$R$5:$W$9,MATCH(ROUNDUP((G$1)/10,0)*10,[1]Hugst!$R$4:$W$4,0))))</f>
        <v>0</v>
      </c>
      <c r="H54">
        <f ca="1">IF($C54-H$1&lt;År1,0,G53*(1-VLOOKUP($A54,[1]Hugst!$R$5:$W$9,MATCH(ROUNDUP((H$1)/10,0)*10,[1]Hugst!$R$4:$W$4,0))))</f>
        <v>0</v>
      </c>
      <c r="I54">
        <f ca="1">IF($C54-I$1&lt;År1,0,H53*(1-VLOOKUP($A54,[1]Hugst!$R$5:$W$9,MATCH(ROUNDUP((I$1)/10,0)*10,[1]Hugst!$R$4:$W$4,0))))</f>
        <v>0</v>
      </c>
      <c r="J54">
        <f ca="1">IF($C54-J$1&lt;År1,0,I53*(1-VLOOKUP($A54,[1]Hugst!$R$5:$W$9,MATCH(ROUNDUP((J$1)/10,0)*10,[1]Hugst!$R$4:$W$4,0))))</f>
        <v>0</v>
      </c>
      <c r="K54">
        <f ca="1">IF($C54-K$1&lt;År1,0,J53*(1-VLOOKUP($A54,[1]Hugst!$R$5:$W$9,MATCH(ROUNDUP((K$1)/10,0)*10,[1]Hugst!$R$4:$W$4,0))))</f>
        <v>0</v>
      </c>
      <c r="L54">
        <f ca="1">IF($C54-L$1&lt;År1,0,K53*(1-VLOOKUP($A54,[1]Hugst!$R$5:$W$9,MATCH(ROUNDUP((L$1)/10,0)*10,[1]Hugst!$R$4:$W$4,0))))</f>
        <v>0</v>
      </c>
      <c r="M54">
        <f ca="1">IF($C54-M$1&lt;År1,0,L53*(1-VLOOKUP($A54,[1]Hugst!$R$5:$W$9,MATCH(ROUNDUP((M$1)/10,0)*10,[1]Hugst!$R$4:$W$4,0))))</f>
        <v>0</v>
      </c>
      <c r="N54">
        <f ca="1">IF($C54-N$1&lt;År1,0,M53*(1-VLOOKUP($A54,[1]Hugst!$R$5:$W$9,MATCH(ROUNDUP((N$1)/10,0)*10,[1]Hugst!$R$4:$W$4,0))))</f>
        <v>0</v>
      </c>
      <c r="O54">
        <f ca="1">IF($C54-O$1&lt;År1,0,N53*(1-VLOOKUP($A54,[1]Hugst!$R$5:$W$9,MATCH(ROUNDUP((O$1)/10,0)*10,[1]Hugst!$R$4:$W$4,0))))</f>
        <v>0</v>
      </c>
      <c r="P54">
        <f ca="1">IF($C54-P$1&lt;År1,0,O53*(1-VLOOKUP($A54,[1]Hugst!$R$5:$W$9,MATCH(ROUNDUP((P$1)/10,0)*10,[1]Hugst!$R$4:$W$4,0))))</f>
        <v>0</v>
      </c>
      <c r="Q54">
        <f ca="1">IF($C54-Q$1&lt;År1,0,P53*(1-VLOOKUP($A54,[1]Hugst!$R$5:$W$9,MATCH(ROUNDUP((Q$1)/10,0)*10,[1]Hugst!$R$4:$W$4,0))))</f>
        <v>0</v>
      </c>
      <c r="R54">
        <f ca="1">IF($C54-R$1&lt;År1,0,Q53*(1-VLOOKUP($A54,[1]Hugst!$R$5:$W$9,MATCH(ROUNDUP((R$1)/10,0)*10,[1]Hugst!$R$4:$W$4,0))))</f>
        <v>0</v>
      </c>
      <c r="S54">
        <f ca="1">IF($C54-S$1&lt;År1,0,R53*(1-VLOOKUP($A54,[1]Hugst!$R$5:$W$9,MATCH(ROUNDUP((S$1)/10,0)*10,[1]Hugst!$R$4:$W$4,0))))</f>
        <v>0</v>
      </c>
      <c r="T54">
        <f ca="1">IF($C54-T$1&lt;År1,0,S53*(1-VLOOKUP($A54,[1]Hugst!$R$5:$W$9,MATCH(ROUNDUP((T$1)/10,0)*10,[1]Hugst!$R$4:$W$4,0))))</f>
        <v>0</v>
      </c>
      <c r="U54">
        <f ca="1">IF($C54-U$1&lt;År1,0,T53*(1-VLOOKUP($A54,[1]Hugst!$R$5:$W$9,MATCH(ROUNDUP((U$1)/10,0)*10,[1]Hugst!$R$4:$W$4,0))))</f>
        <v>0</v>
      </c>
      <c r="V54">
        <f ca="1">IF($C54-V$1&lt;År1,0,U53*(1-VLOOKUP($A54,[1]Hugst!$R$5:$W$9,MATCH(ROUNDUP((V$1)/10,0)*10,[1]Hugst!$R$4:$W$4,0))))</f>
        <v>0</v>
      </c>
      <c r="W54">
        <f ca="1">IF($C54-W$1&lt;År1,0,V53*(1-VLOOKUP($A54,[1]Hugst!$R$5:$W$9,MATCH(ROUNDUP((W$1)/10,0)*10,[1]Hugst!$R$4:$W$4,0))))</f>
        <v>0</v>
      </c>
      <c r="X54">
        <f ca="1">IF($C54-X$1&lt;År1,0,W53*(1-VLOOKUP($A54,[1]Hugst!$R$5:$W$9,MATCH(ROUNDUP((X$1)/10,0)*10,[1]Hugst!$R$4:$W$4,0))))</f>
        <v>0</v>
      </c>
      <c r="Y54">
        <f ca="1">IF($C54-Y$1&lt;År1,0,X53*(1-VLOOKUP($A54,[1]Hugst!$R$5:$W$9,MATCH(ROUNDUP((Y$1)/10,0)*10,[1]Hugst!$R$4:$W$4,0))))</f>
        <v>0</v>
      </c>
      <c r="Z54">
        <f ca="1">IF($C54-Z$1&lt;År1,0,Y53*(1-VLOOKUP($A54,[1]Hugst!$R$5:$W$9,MATCH(ROUNDUP((Z$1)/10,0)*10,[1]Hugst!$R$4:$W$4,0))))</f>
        <v>0</v>
      </c>
      <c r="AA54">
        <f ca="1">IF($C54-AA$1&lt;År1,0,Z53*(1-VLOOKUP($A54,[1]Hugst!$R$5:$W$9,MATCH(ROUNDUP((AA$1)/10,0)*10,[1]Hugst!$R$4:$W$4,0))))</f>
        <v>0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0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>
        <f ca="1">IF($C55-G$1&lt;År1,0,F54*(1-VLOOKUP($A55,[1]Hugst!$R$5:$W$9,MATCH(ROUNDUP((G$1)/10,0)*10,[1]Hugst!$R$4:$W$4,0))))</f>
        <v>0</v>
      </c>
      <c r="H55">
        <f ca="1">IF($C55-H$1&lt;År1,0,G54*(1-VLOOKUP($A55,[1]Hugst!$R$5:$W$9,MATCH(ROUNDUP((H$1)/10,0)*10,[1]Hugst!$R$4:$W$4,0))))</f>
        <v>0</v>
      </c>
      <c r="I55">
        <f ca="1">IF($C55-I$1&lt;År1,0,H54*(1-VLOOKUP($A55,[1]Hugst!$R$5:$W$9,MATCH(ROUNDUP((I$1)/10,0)*10,[1]Hugst!$R$4:$W$4,0))))</f>
        <v>0</v>
      </c>
      <c r="J55">
        <f ca="1">IF($C55-J$1&lt;År1,0,I54*(1-VLOOKUP($A55,[1]Hugst!$R$5:$W$9,MATCH(ROUNDUP((J$1)/10,0)*10,[1]Hugst!$R$4:$W$4,0))))</f>
        <v>0</v>
      </c>
      <c r="K55">
        <f ca="1">IF($C55-K$1&lt;År1,0,J54*(1-VLOOKUP($A55,[1]Hugst!$R$5:$W$9,MATCH(ROUNDUP((K$1)/10,0)*10,[1]Hugst!$R$4:$W$4,0))))</f>
        <v>0</v>
      </c>
      <c r="L55">
        <f ca="1">IF($C55-L$1&lt;År1,0,K54*(1-VLOOKUP($A55,[1]Hugst!$R$5:$W$9,MATCH(ROUNDUP((L$1)/10,0)*10,[1]Hugst!$R$4:$W$4,0))))</f>
        <v>0</v>
      </c>
      <c r="M55">
        <f ca="1">IF($C55-M$1&lt;År1,0,L54*(1-VLOOKUP($A55,[1]Hugst!$R$5:$W$9,MATCH(ROUNDUP((M$1)/10,0)*10,[1]Hugst!$R$4:$W$4,0))))</f>
        <v>0</v>
      </c>
      <c r="N55">
        <f ca="1">IF($C55-N$1&lt;År1,0,M54*(1-VLOOKUP($A55,[1]Hugst!$R$5:$W$9,MATCH(ROUNDUP((N$1)/10,0)*10,[1]Hugst!$R$4:$W$4,0))))</f>
        <v>0</v>
      </c>
      <c r="O55">
        <f ca="1">IF($C55-O$1&lt;År1,0,N54*(1-VLOOKUP($A55,[1]Hugst!$R$5:$W$9,MATCH(ROUNDUP((O$1)/10,0)*10,[1]Hugst!$R$4:$W$4,0))))</f>
        <v>0</v>
      </c>
      <c r="P55">
        <f ca="1">IF($C55-P$1&lt;År1,0,O54*(1-VLOOKUP($A55,[1]Hugst!$R$5:$W$9,MATCH(ROUNDUP((P$1)/10,0)*10,[1]Hugst!$R$4:$W$4,0))))</f>
        <v>0</v>
      </c>
      <c r="Q55">
        <f ca="1">IF($C55-Q$1&lt;År1,0,P54*(1-VLOOKUP($A55,[1]Hugst!$R$5:$W$9,MATCH(ROUNDUP((Q$1)/10,0)*10,[1]Hugst!$R$4:$W$4,0))))</f>
        <v>0</v>
      </c>
      <c r="R55">
        <f ca="1">IF($C55-R$1&lt;År1,0,Q54*(1-VLOOKUP($A55,[1]Hugst!$R$5:$W$9,MATCH(ROUNDUP((R$1)/10,0)*10,[1]Hugst!$R$4:$W$4,0))))</f>
        <v>0</v>
      </c>
      <c r="S55">
        <f ca="1">IF($C55-S$1&lt;År1,0,R54*(1-VLOOKUP($A55,[1]Hugst!$R$5:$W$9,MATCH(ROUNDUP((S$1)/10,0)*10,[1]Hugst!$R$4:$W$4,0))))</f>
        <v>0</v>
      </c>
      <c r="T55">
        <f ca="1">IF($C55-T$1&lt;År1,0,S54*(1-VLOOKUP($A55,[1]Hugst!$R$5:$W$9,MATCH(ROUNDUP((T$1)/10,0)*10,[1]Hugst!$R$4:$W$4,0))))</f>
        <v>0</v>
      </c>
      <c r="U55">
        <f ca="1">IF($C55-U$1&lt;År1,0,T54*(1-VLOOKUP($A55,[1]Hugst!$R$5:$W$9,MATCH(ROUNDUP((U$1)/10,0)*10,[1]Hugst!$R$4:$W$4,0))))</f>
        <v>0</v>
      </c>
      <c r="V55">
        <f ca="1">IF($C55-V$1&lt;År1,0,U54*(1-VLOOKUP($A55,[1]Hugst!$R$5:$W$9,MATCH(ROUNDUP((V$1)/10,0)*10,[1]Hugst!$R$4:$W$4,0))))</f>
        <v>0</v>
      </c>
      <c r="W55">
        <f ca="1">IF($C55-W$1&lt;År1,0,V54*(1-VLOOKUP($A55,[1]Hugst!$R$5:$W$9,MATCH(ROUNDUP((W$1)/10,0)*10,[1]Hugst!$R$4:$W$4,0))))</f>
        <v>0</v>
      </c>
      <c r="X55">
        <f ca="1">IF($C55-X$1&lt;År1,0,W54*(1-VLOOKUP($A55,[1]Hugst!$R$5:$W$9,MATCH(ROUNDUP((X$1)/10,0)*10,[1]Hugst!$R$4:$W$4,0))))</f>
        <v>0</v>
      </c>
      <c r="Y55">
        <f ca="1">IF($C55-Y$1&lt;År1,0,X54*(1-VLOOKUP($A55,[1]Hugst!$R$5:$W$9,MATCH(ROUNDUP((Y$1)/10,0)*10,[1]Hugst!$R$4:$W$4,0))))</f>
        <v>0</v>
      </c>
      <c r="Z55">
        <f ca="1">IF($C55-Z$1&lt;År1,0,Y54*(1-VLOOKUP($A55,[1]Hugst!$R$5:$W$9,MATCH(ROUNDUP((Z$1)/10,0)*10,[1]Hugst!$R$4:$W$4,0))))</f>
        <v>0</v>
      </c>
      <c r="AA55">
        <f ca="1">IF($C55-AA$1&lt;År1,0,Z54*(1-VLOOKUP($A55,[1]Hugst!$R$5:$W$9,MATCH(ROUNDUP((AA$1)/10,0)*10,[1]Hugst!$R$4:$W$4,0))))</f>
        <v>0</v>
      </c>
      <c r="AB55">
        <f ca="1">IF($C55-AB$1&lt;År1,0,AA54*(1-VLOOKUP($A55,[1]Hugst!$R$5:$W$9,MATCH(ROUNDUP((AB$1)/10,0)*10,[1]Hugst!$R$4:$W$4,0))))</f>
        <v>0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0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>
        <f ca="1">IF($C56-G$1&lt;År1,0,F55*(1-VLOOKUP($A56,[1]Hugst!$R$5:$W$9,MATCH(ROUNDUP((G$1)/10,0)*10,[1]Hugst!$R$4:$W$4,0))))</f>
        <v>0</v>
      </c>
      <c r="H56">
        <f ca="1">IF($C56-H$1&lt;År1,0,G55*(1-VLOOKUP($A56,[1]Hugst!$R$5:$W$9,MATCH(ROUNDUP((H$1)/10,0)*10,[1]Hugst!$R$4:$W$4,0))))</f>
        <v>0</v>
      </c>
      <c r="I56">
        <f ca="1">IF($C56-I$1&lt;År1,0,H55*(1-VLOOKUP($A56,[1]Hugst!$R$5:$W$9,MATCH(ROUNDUP((I$1)/10,0)*10,[1]Hugst!$R$4:$W$4,0))))</f>
        <v>0</v>
      </c>
      <c r="J56">
        <f ca="1">IF($C56-J$1&lt;År1,0,I55*(1-VLOOKUP($A56,[1]Hugst!$R$5:$W$9,MATCH(ROUNDUP((J$1)/10,0)*10,[1]Hugst!$R$4:$W$4,0))))</f>
        <v>0</v>
      </c>
      <c r="K56">
        <f ca="1">IF($C56-K$1&lt;År1,0,J55*(1-VLOOKUP($A56,[1]Hugst!$R$5:$W$9,MATCH(ROUNDUP((K$1)/10,0)*10,[1]Hugst!$R$4:$W$4,0))))</f>
        <v>0</v>
      </c>
      <c r="L56">
        <f ca="1">IF($C56-L$1&lt;År1,0,K55*(1-VLOOKUP($A56,[1]Hugst!$R$5:$W$9,MATCH(ROUNDUP((L$1)/10,0)*10,[1]Hugst!$R$4:$W$4,0))))</f>
        <v>0</v>
      </c>
      <c r="M56">
        <f ca="1">IF($C56-M$1&lt;År1,0,L55*(1-VLOOKUP($A56,[1]Hugst!$R$5:$W$9,MATCH(ROUNDUP((M$1)/10,0)*10,[1]Hugst!$R$4:$W$4,0))))</f>
        <v>0</v>
      </c>
      <c r="N56">
        <f ca="1">IF($C56-N$1&lt;År1,0,M55*(1-VLOOKUP($A56,[1]Hugst!$R$5:$W$9,MATCH(ROUNDUP((N$1)/10,0)*10,[1]Hugst!$R$4:$W$4,0))))</f>
        <v>0</v>
      </c>
      <c r="O56">
        <f ca="1">IF($C56-O$1&lt;År1,0,N55*(1-VLOOKUP($A56,[1]Hugst!$R$5:$W$9,MATCH(ROUNDUP((O$1)/10,0)*10,[1]Hugst!$R$4:$W$4,0))))</f>
        <v>0</v>
      </c>
      <c r="P56">
        <f ca="1">IF($C56-P$1&lt;År1,0,O55*(1-VLOOKUP($A56,[1]Hugst!$R$5:$W$9,MATCH(ROUNDUP((P$1)/10,0)*10,[1]Hugst!$R$4:$W$4,0))))</f>
        <v>0</v>
      </c>
      <c r="Q56">
        <f ca="1">IF($C56-Q$1&lt;År1,0,P55*(1-VLOOKUP($A56,[1]Hugst!$R$5:$W$9,MATCH(ROUNDUP((Q$1)/10,0)*10,[1]Hugst!$R$4:$W$4,0))))</f>
        <v>0</v>
      </c>
      <c r="R56">
        <f ca="1">IF($C56-R$1&lt;År1,0,Q55*(1-VLOOKUP($A56,[1]Hugst!$R$5:$W$9,MATCH(ROUNDUP((R$1)/10,0)*10,[1]Hugst!$R$4:$W$4,0))))</f>
        <v>0</v>
      </c>
      <c r="S56">
        <f ca="1">IF($C56-S$1&lt;År1,0,R55*(1-VLOOKUP($A56,[1]Hugst!$R$5:$W$9,MATCH(ROUNDUP((S$1)/10,0)*10,[1]Hugst!$R$4:$W$4,0))))</f>
        <v>0</v>
      </c>
      <c r="T56">
        <f ca="1">IF($C56-T$1&lt;År1,0,S55*(1-VLOOKUP($A56,[1]Hugst!$R$5:$W$9,MATCH(ROUNDUP((T$1)/10,0)*10,[1]Hugst!$R$4:$W$4,0))))</f>
        <v>0</v>
      </c>
      <c r="U56">
        <f ca="1">IF($C56-U$1&lt;År1,0,T55*(1-VLOOKUP($A56,[1]Hugst!$R$5:$W$9,MATCH(ROUNDUP((U$1)/10,0)*10,[1]Hugst!$R$4:$W$4,0))))</f>
        <v>0</v>
      </c>
      <c r="V56">
        <f ca="1">IF($C56-V$1&lt;År1,0,U55*(1-VLOOKUP($A56,[1]Hugst!$R$5:$W$9,MATCH(ROUNDUP((V$1)/10,0)*10,[1]Hugst!$R$4:$W$4,0))))</f>
        <v>0</v>
      </c>
      <c r="W56">
        <f ca="1">IF($C56-W$1&lt;År1,0,V55*(1-VLOOKUP($A56,[1]Hugst!$R$5:$W$9,MATCH(ROUNDUP((W$1)/10,0)*10,[1]Hugst!$R$4:$W$4,0))))</f>
        <v>0</v>
      </c>
      <c r="X56">
        <f ca="1">IF($C56-X$1&lt;År1,0,W55*(1-VLOOKUP($A56,[1]Hugst!$R$5:$W$9,MATCH(ROUNDUP((X$1)/10,0)*10,[1]Hugst!$R$4:$W$4,0))))</f>
        <v>0</v>
      </c>
      <c r="Y56">
        <f ca="1">IF($C56-Y$1&lt;År1,0,X55*(1-VLOOKUP($A56,[1]Hugst!$R$5:$W$9,MATCH(ROUNDUP((Y$1)/10,0)*10,[1]Hugst!$R$4:$W$4,0))))</f>
        <v>0</v>
      </c>
      <c r="Z56">
        <f ca="1">IF($C56-Z$1&lt;År1,0,Y55*(1-VLOOKUP($A56,[1]Hugst!$R$5:$W$9,MATCH(ROUNDUP((Z$1)/10,0)*10,[1]Hugst!$R$4:$W$4,0))))</f>
        <v>0</v>
      </c>
      <c r="AA56">
        <f ca="1">IF($C56-AA$1&lt;År1,0,Z55*(1-VLOOKUP($A56,[1]Hugst!$R$5:$W$9,MATCH(ROUNDUP((AA$1)/10,0)*10,[1]Hugst!$R$4:$W$4,0))))</f>
        <v>0</v>
      </c>
      <c r="AB56">
        <f ca="1">IF($C56-AB$1&lt;År1,0,AA55*(1-VLOOKUP($A56,[1]Hugst!$R$5:$W$9,MATCH(ROUNDUP((AB$1)/10,0)*10,[1]Hugst!$R$4:$W$4,0))))</f>
        <v>0</v>
      </c>
      <c r="AC56">
        <f ca="1">IF($C56-AC$1&lt;År1,0,AB55*(1-VLOOKUP($A56,[1]Hugst!$R$5:$W$9,MATCH(ROUNDUP((AC$1)/10,0)*10,[1]Hugst!$R$4:$W$4,0))))</f>
        <v>0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0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>
        <f ca="1">IF($C57-G$1&lt;År1,0,F56*(1-VLOOKUP($A57,[1]Hugst!$R$5:$W$9,MATCH(ROUNDUP((G$1)/10,0)*10,[1]Hugst!$R$4:$W$4,0))))</f>
        <v>0</v>
      </c>
      <c r="H57">
        <f ca="1">IF($C57-H$1&lt;År1,0,G56*(1-VLOOKUP($A57,[1]Hugst!$R$5:$W$9,MATCH(ROUNDUP((H$1)/10,0)*10,[1]Hugst!$R$4:$W$4,0))))</f>
        <v>0</v>
      </c>
      <c r="I57">
        <f ca="1">IF($C57-I$1&lt;År1,0,H56*(1-VLOOKUP($A57,[1]Hugst!$R$5:$W$9,MATCH(ROUNDUP((I$1)/10,0)*10,[1]Hugst!$R$4:$W$4,0))))</f>
        <v>0</v>
      </c>
      <c r="J57">
        <f ca="1">IF($C57-J$1&lt;År1,0,I56*(1-VLOOKUP($A57,[1]Hugst!$R$5:$W$9,MATCH(ROUNDUP((J$1)/10,0)*10,[1]Hugst!$R$4:$W$4,0))))</f>
        <v>0</v>
      </c>
      <c r="K57">
        <f ca="1">IF($C57-K$1&lt;År1,0,J56*(1-VLOOKUP($A57,[1]Hugst!$R$5:$W$9,MATCH(ROUNDUP((K$1)/10,0)*10,[1]Hugst!$R$4:$W$4,0))))</f>
        <v>0</v>
      </c>
      <c r="L57">
        <f ca="1">IF($C57-L$1&lt;År1,0,K56*(1-VLOOKUP($A57,[1]Hugst!$R$5:$W$9,MATCH(ROUNDUP((L$1)/10,0)*10,[1]Hugst!$R$4:$W$4,0))))</f>
        <v>0</v>
      </c>
      <c r="M57">
        <f ca="1">IF($C57-M$1&lt;År1,0,L56*(1-VLOOKUP($A57,[1]Hugst!$R$5:$W$9,MATCH(ROUNDUP((M$1)/10,0)*10,[1]Hugst!$R$4:$W$4,0))))</f>
        <v>0</v>
      </c>
      <c r="N57">
        <f ca="1">IF($C57-N$1&lt;År1,0,M56*(1-VLOOKUP($A57,[1]Hugst!$R$5:$W$9,MATCH(ROUNDUP((N$1)/10,0)*10,[1]Hugst!$R$4:$W$4,0))))</f>
        <v>0</v>
      </c>
      <c r="O57">
        <f ca="1">IF($C57-O$1&lt;År1,0,N56*(1-VLOOKUP($A57,[1]Hugst!$R$5:$W$9,MATCH(ROUNDUP((O$1)/10,0)*10,[1]Hugst!$R$4:$W$4,0))))</f>
        <v>0</v>
      </c>
      <c r="P57">
        <f ca="1">IF($C57-P$1&lt;År1,0,O56*(1-VLOOKUP($A57,[1]Hugst!$R$5:$W$9,MATCH(ROUNDUP((P$1)/10,0)*10,[1]Hugst!$R$4:$W$4,0))))</f>
        <v>0</v>
      </c>
      <c r="Q57">
        <f ca="1">IF($C57-Q$1&lt;År1,0,P56*(1-VLOOKUP($A57,[1]Hugst!$R$5:$W$9,MATCH(ROUNDUP((Q$1)/10,0)*10,[1]Hugst!$R$4:$W$4,0))))</f>
        <v>0</v>
      </c>
      <c r="R57">
        <f ca="1">IF($C57-R$1&lt;År1,0,Q56*(1-VLOOKUP($A57,[1]Hugst!$R$5:$W$9,MATCH(ROUNDUP((R$1)/10,0)*10,[1]Hugst!$R$4:$W$4,0))))</f>
        <v>0</v>
      </c>
      <c r="S57">
        <f ca="1">IF($C57-S$1&lt;År1,0,R56*(1-VLOOKUP($A57,[1]Hugst!$R$5:$W$9,MATCH(ROUNDUP((S$1)/10,0)*10,[1]Hugst!$R$4:$W$4,0))))</f>
        <v>0</v>
      </c>
      <c r="T57">
        <f ca="1">IF($C57-T$1&lt;År1,0,S56*(1-VLOOKUP($A57,[1]Hugst!$R$5:$W$9,MATCH(ROUNDUP((T$1)/10,0)*10,[1]Hugst!$R$4:$W$4,0))))</f>
        <v>0</v>
      </c>
      <c r="U57">
        <f ca="1">IF($C57-U$1&lt;År1,0,T56*(1-VLOOKUP($A57,[1]Hugst!$R$5:$W$9,MATCH(ROUNDUP((U$1)/10,0)*10,[1]Hugst!$R$4:$W$4,0))))</f>
        <v>0</v>
      </c>
      <c r="V57">
        <f ca="1">IF($C57-V$1&lt;År1,0,U56*(1-VLOOKUP($A57,[1]Hugst!$R$5:$W$9,MATCH(ROUNDUP((V$1)/10,0)*10,[1]Hugst!$R$4:$W$4,0))))</f>
        <v>0</v>
      </c>
      <c r="W57">
        <f ca="1">IF($C57-W$1&lt;År1,0,V56*(1-VLOOKUP($A57,[1]Hugst!$R$5:$W$9,MATCH(ROUNDUP((W$1)/10,0)*10,[1]Hugst!$R$4:$W$4,0))))</f>
        <v>0</v>
      </c>
      <c r="X57">
        <f ca="1">IF($C57-X$1&lt;År1,0,W56*(1-VLOOKUP($A57,[1]Hugst!$R$5:$W$9,MATCH(ROUNDUP((X$1)/10,0)*10,[1]Hugst!$R$4:$W$4,0))))</f>
        <v>0</v>
      </c>
      <c r="Y57">
        <f ca="1">IF($C57-Y$1&lt;År1,0,X56*(1-VLOOKUP($A57,[1]Hugst!$R$5:$W$9,MATCH(ROUNDUP((Y$1)/10,0)*10,[1]Hugst!$R$4:$W$4,0))))</f>
        <v>0</v>
      </c>
      <c r="Z57">
        <f ca="1">IF($C57-Z$1&lt;År1,0,Y56*(1-VLOOKUP($A57,[1]Hugst!$R$5:$W$9,MATCH(ROUNDUP((Z$1)/10,0)*10,[1]Hugst!$R$4:$W$4,0))))</f>
        <v>0</v>
      </c>
      <c r="AA57">
        <f ca="1">IF($C57-AA$1&lt;År1,0,Z56*(1-VLOOKUP($A57,[1]Hugst!$R$5:$W$9,MATCH(ROUNDUP((AA$1)/10,0)*10,[1]Hugst!$R$4:$W$4,0))))</f>
        <v>0</v>
      </c>
      <c r="AB57">
        <f ca="1">IF($C57-AB$1&lt;År1,0,AA56*(1-VLOOKUP($A57,[1]Hugst!$R$5:$W$9,MATCH(ROUNDUP((AB$1)/10,0)*10,[1]Hugst!$R$4:$W$4,0))))</f>
        <v>0</v>
      </c>
      <c r="AC57">
        <f ca="1">IF($C57-AC$1&lt;År1,0,AB56*(1-VLOOKUP($A57,[1]Hugst!$R$5:$W$9,MATCH(ROUNDUP((AC$1)/10,0)*10,[1]Hugst!$R$4:$W$4,0))))</f>
        <v>0</v>
      </c>
      <c r="AD57">
        <f ca="1">IF($C57-AD$1&lt;År1,0,AC56*(1-VLOOKUP($A57,[1]Hugst!$R$5:$W$9,MATCH(ROUNDUP((AD$1)/10,0)*10,[1]Hugst!$R$4:$W$4,0))))</f>
        <v>0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0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>
        <f ca="1">IF($C58-G$1&lt;År1,0,F57*(1-VLOOKUP($A58,[1]Hugst!$R$5:$W$9,MATCH(ROUNDUP((G$1)/10,0)*10,[1]Hugst!$R$4:$W$4,0))))</f>
        <v>0</v>
      </c>
      <c r="H58">
        <f ca="1">IF($C58-H$1&lt;År1,0,G57*(1-VLOOKUP($A58,[1]Hugst!$R$5:$W$9,MATCH(ROUNDUP((H$1)/10,0)*10,[1]Hugst!$R$4:$W$4,0))))</f>
        <v>0</v>
      </c>
      <c r="I58">
        <f ca="1">IF($C58-I$1&lt;År1,0,H57*(1-VLOOKUP($A58,[1]Hugst!$R$5:$W$9,MATCH(ROUNDUP((I$1)/10,0)*10,[1]Hugst!$R$4:$W$4,0))))</f>
        <v>0</v>
      </c>
      <c r="J58">
        <f ca="1">IF($C58-J$1&lt;År1,0,I57*(1-VLOOKUP($A58,[1]Hugst!$R$5:$W$9,MATCH(ROUNDUP((J$1)/10,0)*10,[1]Hugst!$R$4:$W$4,0))))</f>
        <v>0</v>
      </c>
      <c r="K58">
        <f ca="1">IF($C58-K$1&lt;År1,0,J57*(1-VLOOKUP($A58,[1]Hugst!$R$5:$W$9,MATCH(ROUNDUP((K$1)/10,0)*10,[1]Hugst!$R$4:$W$4,0))))</f>
        <v>0</v>
      </c>
      <c r="L58">
        <f ca="1">IF($C58-L$1&lt;År1,0,K57*(1-VLOOKUP($A58,[1]Hugst!$R$5:$W$9,MATCH(ROUNDUP((L$1)/10,0)*10,[1]Hugst!$R$4:$W$4,0))))</f>
        <v>0</v>
      </c>
      <c r="M58">
        <f ca="1">IF($C58-M$1&lt;År1,0,L57*(1-VLOOKUP($A58,[1]Hugst!$R$5:$W$9,MATCH(ROUNDUP((M$1)/10,0)*10,[1]Hugst!$R$4:$W$4,0))))</f>
        <v>0</v>
      </c>
      <c r="N58">
        <f ca="1">IF($C58-N$1&lt;År1,0,M57*(1-VLOOKUP($A58,[1]Hugst!$R$5:$W$9,MATCH(ROUNDUP((N$1)/10,0)*10,[1]Hugst!$R$4:$W$4,0))))</f>
        <v>0</v>
      </c>
      <c r="O58">
        <f ca="1">IF($C58-O$1&lt;År1,0,N57*(1-VLOOKUP($A58,[1]Hugst!$R$5:$W$9,MATCH(ROUNDUP((O$1)/10,0)*10,[1]Hugst!$R$4:$W$4,0))))</f>
        <v>0</v>
      </c>
      <c r="P58">
        <f ca="1">IF($C58-P$1&lt;År1,0,O57*(1-VLOOKUP($A58,[1]Hugst!$R$5:$W$9,MATCH(ROUNDUP((P$1)/10,0)*10,[1]Hugst!$R$4:$W$4,0))))</f>
        <v>0</v>
      </c>
      <c r="Q58">
        <f ca="1">IF($C58-Q$1&lt;År1,0,P57*(1-VLOOKUP($A58,[1]Hugst!$R$5:$W$9,MATCH(ROUNDUP((Q$1)/10,0)*10,[1]Hugst!$R$4:$W$4,0))))</f>
        <v>0</v>
      </c>
      <c r="R58">
        <f ca="1">IF($C58-R$1&lt;År1,0,Q57*(1-VLOOKUP($A58,[1]Hugst!$R$5:$W$9,MATCH(ROUNDUP((R$1)/10,0)*10,[1]Hugst!$R$4:$W$4,0))))</f>
        <v>0</v>
      </c>
      <c r="S58">
        <f ca="1">IF($C58-S$1&lt;År1,0,R57*(1-VLOOKUP($A58,[1]Hugst!$R$5:$W$9,MATCH(ROUNDUP((S$1)/10,0)*10,[1]Hugst!$R$4:$W$4,0))))</f>
        <v>0</v>
      </c>
      <c r="T58">
        <f ca="1">IF($C58-T$1&lt;År1,0,S57*(1-VLOOKUP($A58,[1]Hugst!$R$5:$W$9,MATCH(ROUNDUP((T$1)/10,0)*10,[1]Hugst!$R$4:$W$4,0))))</f>
        <v>0</v>
      </c>
      <c r="U58">
        <f ca="1">IF($C58-U$1&lt;År1,0,T57*(1-VLOOKUP($A58,[1]Hugst!$R$5:$W$9,MATCH(ROUNDUP((U$1)/10,0)*10,[1]Hugst!$R$4:$W$4,0))))</f>
        <v>0</v>
      </c>
      <c r="V58">
        <f ca="1">IF($C58-V$1&lt;År1,0,U57*(1-VLOOKUP($A58,[1]Hugst!$R$5:$W$9,MATCH(ROUNDUP((V$1)/10,0)*10,[1]Hugst!$R$4:$W$4,0))))</f>
        <v>0</v>
      </c>
      <c r="W58">
        <f ca="1">IF($C58-W$1&lt;År1,0,V57*(1-VLOOKUP($A58,[1]Hugst!$R$5:$W$9,MATCH(ROUNDUP((W$1)/10,0)*10,[1]Hugst!$R$4:$W$4,0))))</f>
        <v>0</v>
      </c>
      <c r="X58">
        <f ca="1">IF($C58-X$1&lt;År1,0,W57*(1-VLOOKUP($A58,[1]Hugst!$R$5:$W$9,MATCH(ROUNDUP((X$1)/10,0)*10,[1]Hugst!$R$4:$W$4,0))))</f>
        <v>0</v>
      </c>
      <c r="Y58">
        <f ca="1">IF($C58-Y$1&lt;År1,0,X57*(1-VLOOKUP($A58,[1]Hugst!$R$5:$W$9,MATCH(ROUNDUP((Y$1)/10,0)*10,[1]Hugst!$R$4:$W$4,0))))</f>
        <v>0</v>
      </c>
      <c r="Z58">
        <f ca="1">IF($C58-Z$1&lt;År1,0,Y57*(1-VLOOKUP($A58,[1]Hugst!$R$5:$W$9,MATCH(ROUNDUP((Z$1)/10,0)*10,[1]Hugst!$R$4:$W$4,0))))</f>
        <v>0</v>
      </c>
      <c r="AA58">
        <f ca="1">IF($C58-AA$1&lt;År1,0,Z57*(1-VLOOKUP($A58,[1]Hugst!$R$5:$W$9,MATCH(ROUNDUP((AA$1)/10,0)*10,[1]Hugst!$R$4:$W$4,0))))</f>
        <v>0</v>
      </c>
      <c r="AB58">
        <f ca="1">IF($C58-AB$1&lt;År1,0,AA57*(1-VLOOKUP($A58,[1]Hugst!$R$5:$W$9,MATCH(ROUNDUP((AB$1)/10,0)*10,[1]Hugst!$R$4:$W$4,0))))</f>
        <v>0</v>
      </c>
      <c r="AC58">
        <f ca="1">IF($C58-AC$1&lt;År1,0,AB57*(1-VLOOKUP($A58,[1]Hugst!$R$5:$W$9,MATCH(ROUNDUP((AC$1)/10,0)*10,[1]Hugst!$R$4:$W$4,0))))</f>
        <v>0</v>
      </c>
      <c r="AD58">
        <f ca="1">IF($C58-AD$1&lt;År1,0,AC57*(1-VLOOKUP($A58,[1]Hugst!$R$5:$W$9,MATCH(ROUNDUP((AD$1)/10,0)*10,[1]Hugst!$R$4:$W$4,0))))</f>
        <v>0</v>
      </c>
      <c r="AE58">
        <f ca="1">IF($C58-AE$1&lt;År1,0,AD57*(1-VLOOKUP($A58,[1]Hugst!$R$5:$W$9,MATCH(ROUNDUP((AE$1)/10,0)*10,[1]Hugst!$R$4:$W$4,0))))</f>
        <v>0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0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>
        <f ca="1">IF($C59-G$1&lt;År1,0,F58*(1-VLOOKUP($A59,[1]Hugst!$R$5:$W$9,MATCH(ROUNDUP((G$1)/10,0)*10,[1]Hugst!$R$4:$W$4,0))))</f>
        <v>0</v>
      </c>
      <c r="H59">
        <f ca="1">IF($C59-H$1&lt;År1,0,G58*(1-VLOOKUP($A59,[1]Hugst!$R$5:$W$9,MATCH(ROUNDUP((H$1)/10,0)*10,[1]Hugst!$R$4:$W$4,0))))</f>
        <v>0</v>
      </c>
      <c r="I59">
        <f ca="1">IF($C59-I$1&lt;År1,0,H58*(1-VLOOKUP($A59,[1]Hugst!$R$5:$W$9,MATCH(ROUNDUP((I$1)/10,0)*10,[1]Hugst!$R$4:$W$4,0))))</f>
        <v>0</v>
      </c>
      <c r="J59">
        <f ca="1">IF($C59-J$1&lt;År1,0,I58*(1-VLOOKUP($A59,[1]Hugst!$R$5:$W$9,MATCH(ROUNDUP((J$1)/10,0)*10,[1]Hugst!$R$4:$W$4,0))))</f>
        <v>0</v>
      </c>
      <c r="K59">
        <f ca="1">IF($C59-K$1&lt;År1,0,J58*(1-VLOOKUP($A59,[1]Hugst!$R$5:$W$9,MATCH(ROUNDUP((K$1)/10,0)*10,[1]Hugst!$R$4:$W$4,0))))</f>
        <v>0</v>
      </c>
      <c r="L59">
        <f ca="1">IF($C59-L$1&lt;År1,0,K58*(1-VLOOKUP($A59,[1]Hugst!$R$5:$W$9,MATCH(ROUNDUP((L$1)/10,0)*10,[1]Hugst!$R$4:$W$4,0))))</f>
        <v>0</v>
      </c>
      <c r="M59">
        <f ca="1">IF($C59-M$1&lt;År1,0,L58*(1-VLOOKUP($A59,[1]Hugst!$R$5:$W$9,MATCH(ROUNDUP((M$1)/10,0)*10,[1]Hugst!$R$4:$W$4,0))))</f>
        <v>0</v>
      </c>
      <c r="N59">
        <f ca="1">IF($C59-N$1&lt;År1,0,M58*(1-VLOOKUP($A59,[1]Hugst!$R$5:$W$9,MATCH(ROUNDUP((N$1)/10,0)*10,[1]Hugst!$R$4:$W$4,0))))</f>
        <v>0</v>
      </c>
      <c r="O59">
        <f ca="1">IF($C59-O$1&lt;År1,0,N58*(1-VLOOKUP($A59,[1]Hugst!$R$5:$W$9,MATCH(ROUNDUP((O$1)/10,0)*10,[1]Hugst!$R$4:$W$4,0))))</f>
        <v>0</v>
      </c>
      <c r="P59">
        <f ca="1">IF($C59-P$1&lt;År1,0,O58*(1-VLOOKUP($A59,[1]Hugst!$R$5:$W$9,MATCH(ROUNDUP((P$1)/10,0)*10,[1]Hugst!$R$4:$W$4,0))))</f>
        <v>0</v>
      </c>
      <c r="Q59">
        <f ca="1">IF($C59-Q$1&lt;År1,0,P58*(1-VLOOKUP($A59,[1]Hugst!$R$5:$W$9,MATCH(ROUNDUP((Q$1)/10,0)*10,[1]Hugst!$R$4:$W$4,0))))</f>
        <v>0</v>
      </c>
      <c r="R59">
        <f ca="1">IF($C59-R$1&lt;År1,0,Q58*(1-VLOOKUP($A59,[1]Hugst!$R$5:$W$9,MATCH(ROUNDUP((R$1)/10,0)*10,[1]Hugst!$R$4:$W$4,0))))</f>
        <v>0</v>
      </c>
      <c r="S59">
        <f ca="1">IF($C59-S$1&lt;År1,0,R58*(1-VLOOKUP($A59,[1]Hugst!$R$5:$W$9,MATCH(ROUNDUP((S$1)/10,0)*10,[1]Hugst!$R$4:$W$4,0))))</f>
        <v>0</v>
      </c>
      <c r="T59">
        <f ca="1">IF($C59-T$1&lt;År1,0,S58*(1-VLOOKUP($A59,[1]Hugst!$R$5:$W$9,MATCH(ROUNDUP((T$1)/10,0)*10,[1]Hugst!$R$4:$W$4,0))))</f>
        <v>0</v>
      </c>
      <c r="U59">
        <f ca="1">IF($C59-U$1&lt;År1,0,T58*(1-VLOOKUP($A59,[1]Hugst!$R$5:$W$9,MATCH(ROUNDUP((U$1)/10,0)*10,[1]Hugst!$R$4:$W$4,0))))</f>
        <v>0</v>
      </c>
      <c r="V59">
        <f ca="1">IF($C59-V$1&lt;År1,0,U58*(1-VLOOKUP($A59,[1]Hugst!$R$5:$W$9,MATCH(ROUNDUP((V$1)/10,0)*10,[1]Hugst!$R$4:$W$4,0))))</f>
        <v>0</v>
      </c>
      <c r="W59">
        <f ca="1">IF($C59-W$1&lt;År1,0,V58*(1-VLOOKUP($A59,[1]Hugst!$R$5:$W$9,MATCH(ROUNDUP((W$1)/10,0)*10,[1]Hugst!$R$4:$W$4,0))))</f>
        <v>0</v>
      </c>
      <c r="X59">
        <f ca="1">IF($C59-X$1&lt;År1,0,W58*(1-VLOOKUP($A59,[1]Hugst!$R$5:$W$9,MATCH(ROUNDUP((X$1)/10,0)*10,[1]Hugst!$R$4:$W$4,0))))</f>
        <v>0</v>
      </c>
      <c r="Y59">
        <f ca="1">IF($C59-Y$1&lt;År1,0,X58*(1-VLOOKUP($A59,[1]Hugst!$R$5:$W$9,MATCH(ROUNDUP((Y$1)/10,0)*10,[1]Hugst!$R$4:$W$4,0))))</f>
        <v>0</v>
      </c>
      <c r="Z59">
        <f ca="1">IF($C59-Z$1&lt;År1,0,Y58*(1-VLOOKUP($A59,[1]Hugst!$R$5:$W$9,MATCH(ROUNDUP((Z$1)/10,0)*10,[1]Hugst!$R$4:$W$4,0))))</f>
        <v>0</v>
      </c>
      <c r="AA59">
        <f ca="1">IF($C59-AA$1&lt;År1,0,Z58*(1-VLOOKUP($A59,[1]Hugst!$R$5:$W$9,MATCH(ROUNDUP((AA$1)/10,0)*10,[1]Hugst!$R$4:$W$4,0))))</f>
        <v>0</v>
      </c>
      <c r="AB59">
        <f ca="1">IF($C59-AB$1&lt;År1,0,AA58*(1-VLOOKUP($A59,[1]Hugst!$R$5:$W$9,MATCH(ROUNDUP((AB$1)/10,0)*10,[1]Hugst!$R$4:$W$4,0))))</f>
        <v>0</v>
      </c>
      <c r="AC59">
        <f ca="1">IF($C59-AC$1&lt;År1,0,AB58*(1-VLOOKUP($A59,[1]Hugst!$R$5:$W$9,MATCH(ROUNDUP((AC$1)/10,0)*10,[1]Hugst!$R$4:$W$4,0))))</f>
        <v>0</v>
      </c>
      <c r="AD59">
        <f ca="1">IF($C59-AD$1&lt;År1,0,AC58*(1-VLOOKUP($A59,[1]Hugst!$R$5:$W$9,MATCH(ROUNDUP((AD$1)/10,0)*10,[1]Hugst!$R$4:$W$4,0))))</f>
        <v>0</v>
      </c>
      <c r="AE59">
        <f ca="1">IF($C59-AE$1&lt;År1,0,AD58*(1-VLOOKUP($A59,[1]Hugst!$R$5:$W$9,MATCH(ROUNDUP((AE$1)/10,0)*10,[1]Hugst!$R$4:$W$4,0))))</f>
        <v>0</v>
      </c>
      <c r="AF59">
        <f ca="1">IF($C59-AF$1&lt;År1,0,AE58*(1-VLOOKUP($A59,[1]Hugst!$R$5:$W$9,MATCH(ROUNDUP((AF$1)/10,0)*10,[1]Hugst!$R$4:$W$4,0))))</f>
        <v>0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0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>
        <f ca="1">IF($C60-G$1&lt;År1,0,F59*(1-VLOOKUP($A60,[1]Hugst!$R$5:$W$9,MATCH(ROUNDUP((G$1)/10,0)*10,[1]Hugst!$R$4:$W$4,0))))</f>
        <v>0</v>
      </c>
      <c r="H60">
        <f ca="1">IF($C60-H$1&lt;År1,0,G59*(1-VLOOKUP($A60,[1]Hugst!$R$5:$W$9,MATCH(ROUNDUP((H$1)/10,0)*10,[1]Hugst!$R$4:$W$4,0))))</f>
        <v>0</v>
      </c>
      <c r="I60">
        <f ca="1">IF($C60-I$1&lt;År1,0,H59*(1-VLOOKUP($A60,[1]Hugst!$R$5:$W$9,MATCH(ROUNDUP((I$1)/10,0)*10,[1]Hugst!$R$4:$W$4,0))))</f>
        <v>0</v>
      </c>
      <c r="J60">
        <f ca="1">IF($C60-J$1&lt;År1,0,I59*(1-VLOOKUP($A60,[1]Hugst!$R$5:$W$9,MATCH(ROUNDUP((J$1)/10,0)*10,[1]Hugst!$R$4:$W$4,0))))</f>
        <v>0</v>
      </c>
      <c r="K60">
        <f ca="1">IF($C60-K$1&lt;År1,0,J59*(1-VLOOKUP($A60,[1]Hugst!$R$5:$W$9,MATCH(ROUNDUP((K$1)/10,0)*10,[1]Hugst!$R$4:$W$4,0))))</f>
        <v>0</v>
      </c>
      <c r="L60">
        <f ca="1">IF($C60-L$1&lt;År1,0,K59*(1-VLOOKUP($A60,[1]Hugst!$R$5:$W$9,MATCH(ROUNDUP((L$1)/10,0)*10,[1]Hugst!$R$4:$W$4,0))))</f>
        <v>0</v>
      </c>
      <c r="M60">
        <f ca="1">IF($C60-M$1&lt;År1,0,L59*(1-VLOOKUP($A60,[1]Hugst!$R$5:$W$9,MATCH(ROUNDUP((M$1)/10,0)*10,[1]Hugst!$R$4:$W$4,0))))</f>
        <v>0</v>
      </c>
      <c r="N60">
        <f ca="1">IF($C60-N$1&lt;År1,0,M59*(1-VLOOKUP($A60,[1]Hugst!$R$5:$W$9,MATCH(ROUNDUP((N$1)/10,0)*10,[1]Hugst!$R$4:$W$4,0))))</f>
        <v>0</v>
      </c>
      <c r="O60">
        <f ca="1">IF($C60-O$1&lt;År1,0,N59*(1-VLOOKUP($A60,[1]Hugst!$R$5:$W$9,MATCH(ROUNDUP((O$1)/10,0)*10,[1]Hugst!$R$4:$W$4,0))))</f>
        <v>0</v>
      </c>
      <c r="P60">
        <f ca="1">IF($C60-P$1&lt;År1,0,O59*(1-VLOOKUP($A60,[1]Hugst!$R$5:$W$9,MATCH(ROUNDUP((P$1)/10,0)*10,[1]Hugst!$R$4:$W$4,0))))</f>
        <v>0</v>
      </c>
      <c r="Q60">
        <f ca="1">IF($C60-Q$1&lt;År1,0,P59*(1-VLOOKUP($A60,[1]Hugst!$R$5:$W$9,MATCH(ROUNDUP((Q$1)/10,0)*10,[1]Hugst!$R$4:$W$4,0))))</f>
        <v>0</v>
      </c>
      <c r="R60">
        <f ca="1">IF($C60-R$1&lt;År1,0,Q59*(1-VLOOKUP($A60,[1]Hugst!$R$5:$W$9,MATCH(ROUNDUP((R$1)/10,0)*10,[1]Hugst!$R$4:$W$4,0))))</f>
        <v>0</v>
      </c>
      <c r="S60">
        <f ca="1">IF($C60-S$1&lt;År1,0,R59*(1-VLOOKUP($A60,[1]Hugst!$R$5:$W$9,MATCH(ROUNDUP((S$1)/10,0)*10,[1]Hugst!$R$4:$W$4,0))))</f>
        <v>0</v>
      </c>
      <c r="T60">
        <f ca="1">IF($C60-T$1&lt;År1,0,S59*(1-VLOOKUP($A60,[1]Hugst!$R$5:$W$9,MATCH(ROUNDUP((T$1)/10,0)*10,[1]Hugst!$R$4:$W$4,0))))</f>
        <v>0</v>
      </c>
      <c r="U60">
        <f ca="1">IF($C60-U$1&lt;År1,0,T59*(1-VLOOKUP($A60,[1]Hugst!$R$5:$W$9,MATCH(ROUNDUP((U$1)/10,0)*10,[1]Hugst!$R$4:$W$4,0))))</f>
        <v>0</v>
      </c>
      <c r="V60">
        <f ca="1">IF($C60-V$1&lt;År1,0,U59*(1-VLOOKUP($A60,[1]Hugst!$R$5:$W$9,MATCH(ROUNDUP((V$1)/10,0)*10,[1]Hugst!$R$4:$W$4,0))))</f>
        <v>0</v>
      </c>
      <c r="W60">
        <f ca="1">IF($C60-W$1&lt;År1,0,V59*(1-VLOOKUP($A60,[1]Hugst!$R$5:$W$9,MATCH(ROUNDUP((W$1)/10,0)*10,[1]Hugst!$R$4:$W$4,0))))</f>
        <v>0</v>
      </c>
      <c r="X60">
        <f ca="1">IF($C60-X$1&lt;År1,0,W59*(1-VLOOKUP($A60,[1]Hugst!$R$5:$W$9,MATCH(ROUNDUP((X$1)/10,0)*10,[1]Hugst!$R$4:$W$4,0))))</f>
        <v>0</v>
      </c>
      <c r="Y60">
        <f ca="1">IF($C60-Y$1&lt;År1,0,X59*(1-VLOOKUP($A60,[1]Hugst!$R$5:$W$9,MATCH(ROUNDUP((Y$1)/10,0)*10,[1]Hugst!$R$4:$W$4,0))))</f>
        <v>0</v>
      </c>
      <c r="Z60">
        <f ca="1">IF($C60-Z$1&lt;År1,0,Y59*(1-VLOOKUP($A60,[1]Hugst!$R$5:$W$9,MATCH(ROUNDUP((Z$1)/10,0)*10,[1]Hugst!$R$4:$W$4,0))))</f>
        <v>0</v>
      </c>
      <c r="AA60">
        <f ca="1">IF($C60-AA$1&lt;År1,0,Z59*(1-VLOOKUP($A60,[1]Hugst!$R$5:$W$9,MATCH(ROUNDUP((AA$1)/10,0)*10,[1]Hugst!$R$4:$W$4,0))))</f>
        <v>0</v>
      </c>
      <c r="AB60">
        <f ca="1">IF($C60-AB$1&lt;År1,0,AA59*(1-VLOOKUP($A60,[1]Hugst!$R$5:$W$9,MATCH(ROUNDUP((AB$1)/10,0)*10,[1]Hugst!$R$4:$W$4,0))))</f>
        <v>0</v>
      </c>
      <c r="AC60">
        <f ca="1">IF($C60-AC$1&lt;År1,0,AB59*(1-VLOOKUP($A60,[1]Hugst!$R$5:$W$9,MATCH(ROUNDUP((AC$1)/10,0)*10,[1]Hugst!$R$4:$W$4,0))))</f>
        <v>0</v>
      </c>
      <c r="AD60">
        <f ca="1">IF($C60-AD$1&lt;År1,0,AC59*(1-VLOOKUP($A60,[1]Hugst!$R$5:$W$9,MATCH(ROUNDUP((AD$1)/10,0)*10,[1]Hugst!$R$4:$W$4,0))))</f>
        <v>0</v>
      </c>
      <c r="AE60">
        <f ca="1">IF($C60-AE$1&lt;År1,0,AD59*(1-VLOOKUP($A60,[1]Hugst!$R$5:$W$9,MATCH(ROUNDUP((AE$1)/10,0)*10,[1]Hugst!$R$4:$W$4,0))))</f>
        <v>0</v>
      </c>
      <c r="AF60">
        <f ca="1">IF($C60-AF$1&lt;År1,0,AE59*(1-VLOOKUP($A60,[1]Hugst!$R$5:$W$9,MATCH(ROUNDUP((AF$1)/10,0)*10,[1]Hugst!$R$4:$W$4,0))))</f>
        <v>0</v>
      </c>
      <c r="AG60">
        <f ca="1">IF($C60-AG$1&lt;År1,0,AF59*(1-VLOOKUP($A60,[1]Hugst!$R$5:$W$9,MATCH(ROUNDUP((AG$1)/10,0)*10,[1]Hugst!$R$4:$W$4,0))))</f>
        <v>0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0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>
        <f ca="1">IF($C61-G$1&lt;År1,0,F60*(1-VLOOKUP($A61,[1]Hugst!$R$5:$W$9,MATCH(ROUNDUP((G$1)/10,0)*10,[1]Hugst!$R$4:$W$4,0))))</f>
        <v>0</v>
      </c>
      <c r="H61">
        <f ca="1">IF($C61-H$1&lt;År1,0,G60*(1-VLOOKUP($A61,[1]Hugst!$R$5:$W$9,MATCH(ROUNDUP((H$1)/10,0)*10,[1]Hugst!$R$4:$W$4,0))))</f>
        <v>0</v>
      </c>
      <c r="I61">
        <f ca="1">IF($C61-I$1&lt;År1,0,H60*(1-VLOOKUP($A61,[1]Hugst!$R$5:$W$9,MATCH(ROUNDUP((I$1)/10,0)*10,[1]Hugst!$R$4:$W$4,0))))</f>
        <v>0</v>
      </c>
      <c r="J61">
        <f ca="1">IF($C61-J$1&lt;År1,0,I60*(1-VLOOKUP($A61,[1]Hugst!$R$5:$W$9,MATCH(ROUNDUP((J$1)/10,0)*10,[1]Hugst!$R$4:$W$4,0))))</f>
        <v>0</v>
      </c>
      <c r="K61">
        <f ca="1">IF($C61-K$1&lt;År1,0,J60*(1-VLOOKUP($A61,[1]Hugst!$R$5:$W$9,MATCH(ROUNDUP((K$1)/10,0)*10,[1]Hugst!$R$4:$W$4,0))))</f>
        <v>0</v>
      </c>
      <c r="L61">
        <f ca="1">IF($C61-L$1&lt;År1,0,K60*(1-VLOOKUP($A61,[1]Hugst!$R$5:$W$9,MATCH(ROUNDUP((L$1)/10,0)*10,[1]Hugst!$R$4:$W$4,0))))</f>
        <v>0</v>
      </c>
      <c r="M61">
        <f ca="1">IF($C61-M$1&lt;År1,0,L60*(1-VLOOKUP($A61,[1]Hugst!$R$5:$W$9,MATCH(ROUNDUP((M$1)/10,0)*10,[1]Hugst!$R$4:$W$4,0))))</f>
        <v>0</v>
      </c>
      <c r="N61">
        <f ca="1">IF($C61-N$1&lt;År1,0,M60*(1-VLOOKUP($A61,[1]Hugst!$R$5:$W$9,MATCH(ROUNDUP((N$1)/10,0)*10,[1]Hugst!$R$4:$W$4,0))))</f>
        <v>0</v>
      </c>
      <c r="O61">
        <f ca="1">IF($C61-O$1&lt;År1,0,N60*(1-VLOOKUP($A61,[1]Hugst!$R$5:$W$9,MATCH(ROUNDUP((O$1)/10,0)*10,[1]Hugst!$R$4:$W$4,0))))</f>
        <v>0</v>
      </c>
      <c r="P61">
        <f ca="1">IF($C61-P$1&lt;År1,0,O60*(1-VLOOKUP($A61,[1]Hugst!$R$5:$W$9,MATCH(ROUNDUP((P$1)/10,0)*10,[1]Hugst!$R$4:$W$4,0))))</f>
        <v>0</v>
      </c>
      <c r="Q61">
        <f ca="1">IF($C61-Q$1&lt;År1,0,P60*(1-VLOOKUP($A61,[1]Hugst!$R$5:$W$9,MATCH(ROUNDUP((Q$1)/10,0)*10,[1]Hugst!$R$4:$W$4,0))))</f>
        <v>0</v>
      </c>
      <c r="R61">
        <f ca="1">IF($C61-R$1&lt;År1,0,Q60*(1-VLOOKUP($A61,[1]Hugst!$R$5:$W$9,MATCH(ROUNDUP((R$1)/10,0)*10,[1]Hugst!$R$4:$W$4,0))))</f>
        <v>0</v>
      </c>
      <c r="S61">
        <f ca="1">IF($C61-S$1&lt;År1,0,R60*(1-VLOOKUP($A61,[1]Hugst!$R$5:$W$9,MATCH(ROUNDUP((S$1)/10,0)*10,[1]Hugst!$R$4:$W$4,0))))</f>
        <v>0</v>
      </c>
      <c r="T61">
        <f ca="1">IF($C61-T$1&lt;År1,0,S60*(1-VLOOKUP($A61,[1]Hugst!$R$5:$W$9,MATCH(ROUNDUP((T$1)/10,0)*10,[1]Hugst!$R$4:$W$4,0))))</f>
        <v>0</v>
      </c>
      <c r="U61">
        <f ca="1">IF($C61-U$1&lt;År1,0,T60*(1-VLOOKUP($A61,[1]Hugst!$R$5:$W$9,MATCH(ROUNDUP((U$1)/10,0)*10,[1]Hugst!$R$4:$W$4,0))))</f>
        <v>0</v>
      </c>
      <c r="V61">
        <f ca="1">IF($C61-V$1&lt;År1,0,U60*(1-VLOOKUP($A61,[1]Hugst!$R$5:$W$9,MATCH(ROUNDUP((V$1)/10,0)*10,[1]Hugst!$R$4:$W$4,0))))</f>
        <v>0</v>
      </c>
      <c r="W61">
        <f ca="1">IF($C61-W$1&lt;År1,0,V60*(1-VLOOKUP($A61,[1]Hugst!$R$5:$W$9,MATCH(ROUNDUP((W$1)/10,0)*10,[1]Hugst!$R$4:$W$4,0))))</f>
        <v>0</v>
      </c>
      <c r="X61">
        <f ca="1">IF($C61-X$1&lt;År1,0,W60*(1-VLOOKUP($A61,[1]Hugst!$R$5:$W$9,MATCH(ROUNDUP((X$1)/10,0)*10,[1]Hugst!$R$4:$W$4,0))))</f>
        <v>0</v>
      </c>
      <c r="Y61">
        <f ca="1">IF($C61-Y$1&lt;År1,0,X60*(1-VLOOKUP($A61,[1]Hugst!$R$5:$W$9,MATCH(ROUNDUP((Y$1)/10,0)*10,[1]Hugst!$R$4:$W$4,0))))</f>
        <v>0</v>
      </c>
      <c r="Z61">
        <f ca="1">IF($C61-Z$1&lt;År1,0,Y60*(1-VLOOKUP($A61,[1]Hugst!$R$5:$W$9,MATCH(ROUNDUP((Z$1)/10,0)*10,[1]Hugst!$R$4:$W$4,0))))</f>
        <v>0</v>
      </c>
      <c r="AA61">
        <f ca="1">IF($C61-AA$1&lt;År1,0,Z60*(1-VLOOKUP($A61,[1]Hugst!$R$5:$W$9,MATCH(ROUNDUP((AA$1)/10,0)*10,[1]Hugst!$R$4:$W$4,0))))</f>
        <v>0</v>
      </c>
      <c r="AB61">
        <f ca="1">IF($C61-AB$1&lt;År1,0,AA60*(1-VLOOKUP($A61,[1]Hugst!$R$5:$W$9,MATCH(ROUNDUP((AB$1)/10,0)*10,[1]Hugst!$R$4:$W$4,0))))</f>
        <v>0</v>
      </c>
      <c r="AC61">
        <f ca="1">IF($C61-AC$1&lt;År1,0,AB60*(1-VLOOKUP($A61,[1]Hugst!$R$5:$W$9,MATCH(ROUNDUP((AC$1)/10,0)*10,[1]Hugst!$R$4:$W$4,0))))</f>
        <v>0</v>
      </c>
      <c r="AD61">
        <f ca="1">IF($C61-AD$1&lt;År1,0,AC60*(1-VLOOKUP($A61,[1]Hugst!$R$5:$W$9,MATCH(ROUNDUP((AD$1)/10,0)*10,[1]Hugst!$R$4:$W$4,0))))</f>
        <v>0</v>
      </c>
      <c r="AE61">
        <f ca="1">IF($C61-AE$1&lt;År1,0,AD60*(1-VLOOKUP($A61,[1]Hugst!$R$5:$W$9,MATCH(ROUNDUP((AE$1)/10,0)*10,[1]Hugst!$R$4:$W$4,0))))</f>
        <v>0</v>
      </c>
      <c r="AF61">
        <f ca="1">IF($C61-AF$1&lt;År1,0,AE60*(1-VLOOKUP($A61,[1]Hugst!$R$5:$W$9,MATCH(ROUNDUP((AF$1)/10,0)*10,[1]Hugst!$R$4:$W$4,0))))</f>
        <v>0</v>
      </c>
      <c r="AG61">
        <f ca="1">IF($C61-AG$1&lt;År1,0,AF60*(1-VLOOKUP($A61,[1]Hugst!$R$5:$W$9,MATCH(ROUNDUP((AG$1)/10,0)*10,[1]Hugst!$R$4:$W$4,0))))</f>
        <v>0</v>
      </c>
      <c r="AH61">
        <f ca="1">IF($C61-AH$1&lt;År1,0,AG60*(1-VLOOKUP($A61,[1]Hugst!$R$5:$W$9,MATCH(ROUNDUP((AH$1)/10,0)*10,[1]Hugst!$R$4:$W$4,0))))</f>
        <v>0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0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>
        <f ca="1">IF($C62-G$1&lt;År1,0,F61*(1-VLOOKUP($A62,[1]Hugst!$R$5:$W$9,MATCH(ROUNDUP((G$1)/10,0)*10,[1]Hugst!$R$4:$W$4,0))))</f>
        <v>0</v>
      </c>
      <c r="H62">
        <f ca="1">IF($C62-H$1&lt;År1,0,G61*(1-VLOOKUP($A62,[1]Hugst!$R$5:$W$9,MATCH(ROUNDUP((H$1)/10,0)*10,[1]Hugst!$R$4:$W$4,0))))</f>
        <v>0</v>
      </c>
      <c r="I62">
        <f ca="1">IF($C62-I$1&lt;År1,0,H61*(1-VLOOKUP($A62,[1]Hugst!$R$5:$W$9,MATCH(ROUNDUP((I$1)/10,0)*10,[1]Hugst!$R$4:$W$4,0))))</f>
        <v>0</v>
      </c>
      <c r="J62">
        <f ca="1">IF($C62-J$1&lt;År1,0,I61*(1-VLOOKUP($A62,[1]Hugst!$R$5:$W$9,MATCH(ROUNDUP((J$1)/10,0)*10,[1]Hugst!$R$4:$W$4,0))))</f>
        <v>0</v>
      </c>
      <c r="K62">
        <f ca="1">IF($C62-K$1&lt;År1,0,J61*(1-VLOOKUP($A62,[1]Hugst!$R$5:$W$9,MATCH(ROUNDUP((K$1)/10,0)*10,[1]Hugst!$R$4:$W$4,0))))</f>
        <v>0</v>
      </c>
      <c r="L62">
        <f ca="1">IF($C62-L$1&lt;År1,0,K61*(1-VLOOKUP($A62,[1]Hugst!$R$5:$W$9,MATCH(ROUNDUP((L$1)/10,0)*10,[1]Hugst!$R$4:$W$4,0))))</f>
        <v>0</v>
      </c>
      <c r="M62">
        <f ca="1">IF($C62-M$1&lt;År1,0,L61*(1-VLOOKUP($A62,[1]Hugst!$R$5:$W$9,MATCH(ROUNDUP((M$1)/10,0)*10,[1]Hugst!$R$4:$W$4,0))))</f>
        <v>0</v>
      </c>
      <c r="N62">
        <f ca="1">IF($C62-N$1&lt;År1,0,M61*(1-VLOOKUP($A62,[1]Hugst!$R$5:$W$9,MATCH(ROUNDUP((N$1)/10,0)*10,[1]Hugst!$R$4:$W$4,0))))</f>
        <v>0</v>
      </c>
      <c r="O62">
        <f ca="1">IF($C62-O$1&lt;År1,0,N61*(1-VLOOKUP($A62,[1]Hugst!$R$5:$W$9,MATCH(ROUNDUP((O$1)/10,0)*10,[1]Hugst!$R$4:$W$4,0))))</f>
        <v>0</v>
      </c>
      <c r="P62">
        <f ca="1">IF($C62-P$1&lt;År1,0,O61*(1-VLOOKUP($A62,[1]Hugst!$R$5:$W$9,MATCH(ROUNDUP((P$1)/10,0)*10,[1]Hugst!$R$4:$W$4,0))))</f>
        <v>0</v>
      </c>
      <c r="Q62">
        <f ca="1">IF($C62-Q$1&lt;År1,0,P61*(1-VLOOKUP($A62,[1]Hugst!$R$5:$W$9,MATCH(ROUNDUP((Q$1)/10,0)*10,[1]Hugst!$R$4:$W$4,0))))</f>
        <v>0</v>
      </c>
      <c r="R62">
        <f ca="1">IF($C62-R$1&lt;År1,0,Q61*(1-VLOOKUP($A62,[1]Hugst!$R$5:$W$9,MATCH(ROUNDUP((R$1)/10,0)*10,[1]Hugst!$R$4:$W$4,0))))</f>
        <v>0</v>
      </c>
      <c r="S62">
        <f ca="1">IF($C62-S$1&lt;År1,0,R61*(1-VLOOKUP($A62,[1]Hugst!$R$5:$W$9,MATCH(ROUNDUP((S$1)/10,0)*10,[1]Hugst!$R$4:$W$4,0))))</f>
        <v>0</v>
      </c>
      <c r="T62">
        <f ca="1">IF($C62-T$1&lt;År1,0,S61*(1-VLOOKUP($A62,[1]Hugst!$R$5:$W$9,MATCH(ROUNDUP((T$1)/10,0)*10,[1]Hugst!$R$4:$W$4,0))))</f>
        <v>0</v>
      </c>
      <c r="U62">
        <f ca="1">IF($C62-U$1&lt;År1,0,T61*(1-VLOOKUP($A62,[1]Hugst!$R$5:$W$9,MATCH(ROUNDUP((U$1)/10,0)*10,[1]Hugst!$R$4:$W$4,0))))</f>
        <v>0</v>
      </c>
      <c r="V62">
        <f ca="1">IF($C62-V$1&lt;År1,0,U61*(1-VLOOKUP($A62,[1]Hugst!$R$5:$W$9,MATCH(ROUNDUP((V$1)/10,0)*10,[1]Hugst!$R$4:$W$4,0))))</f>
        <v>0</v>
      </c>
      <c r="W62">
        <f ca="1">IF($C62-W$1&lt;År1,0,V61*(1-VLOOKUP($A62,[1]Hugst!$R$5:$W$9,MATCH(ROUNDUP((W$1)/10,0)*10,[1]Hugst!$R$4:$W$4,0))))</f>
        <v>0</v>
      </c>
      <c r="X62">
        <f ca="1">IF($C62-X$1&lt;År1,0,W61*(1-VLOOKUP($A62,[1]Hugst!$R$5:$W$9,MATCH(ROUNDUP((X$1)/10,0)*10,[1]Hugst!$R$4:$W$4,0))))</f>
        <v>0</v>
      </c>
      <c r="Y62">
        <f ca="1">IF($C62-Y$1&lt;År1,0,X61*(1-VLOOKUP($A62,[1]Hugst!$R$5:$W$9,MATCH(ROUNDUP((Y$1)/10,0)*10,[1]Hugst!$R$4:$W$4,0))))</f>
        <v>0</v>
      </c>
      <c r="Z62">
        <f ca="1">IF($C62-Z$1&lt;År1,0,Y61*(1-VLOOKUP($A62,[1]Hugst!$R$5:$W$9,MATCH(ROUNDUP((Z$1)/10,0)*10,[1]Hugst!$R$4:$W$4,0))))</f>
        <v>0</v>
      </c>
      <c r="AA62">
        <f ca="1">IF($C62-AA$1&lt;År1,0,Z61*(1-VLOOKUP($A62,[1]Hugst!$R$5:$W$9,MATCH(ROUNDUP((AA$1)/10,0)*10,[1]Hugst!$R$4:$W$4,0))))</f>
        <v>0</v>
      </c>
      <c r="AB62">
        <f ca="1">IF($C62-AB$1&lt;År1,0,AA61*(1-VLOOKUP($A62,[1]Hugst!$R$5:$W$9,MATCH(ROUNDUP((AB$1)/10,0)*10,[1]Hugst!$R$4:$W$4,0))))</f>
        <v>0</v>
      </c>
      <c r="AC62">
        <f ca="1">IF($C62-AC$1&lt;År1,0,AB61*(1-VLOOKUP($A62,[1]Hugst!$R$5:$W$9,MATCH(ROUNDUP((AC$1)/10,0)*10,[1]Hugst!$R$4:$W$4,0))))</f>
        <v>0</v>
      </c>
      <c r="AD62">
        <f ca="1">IF($C62-AD$1&lt;År1,0,AC61*(1-VLOOKUP($A62,[1]Hugst!$R$5:$W$9,MATCH(ROUNDUP((AD$1)/10,0)*10,[1]Hugst!$R$4:$W$4,0))))</f>
        <v>0</v>
      </c>
      <c r="AE62">
        <f ca="1">IF($C62-AE$1&lt;År1,0,AD61*(1-VLOOKUP($A62,[1]Hugst!$R$5:$W$9,MATCH(ROUNDUP((AE$1)/10,0)*10,[1]Hugst!$R$4:$W$4,0))))</f>
        <v>0</v>
      </c>
      <c r="AF62">
        <f ca="1">IF($C62-AF$1&lt;År1,0,AE61*(1-VLOOKUP($A62,[1]Hugst!$R$5:$W$9,MATCH(ROUNDUP((AF$1)/10,0)*10,[1]Hugst!$R$4:$W$4,0))))</f>
        <v>0</v>
      </c>
      <c r="AG62">
        <f ca="1">IF($C62-AG$1&lt;År1,0,AF61*(1-VLOOKUP($A62,[1]Hugst!$R$5:$W$9,MATCH(ROUNDUP((AG$1)/10,0)*10,[1]Hugst!$R$4:$W$4,0))))</f>
        <v>0</v>
      </c>
      <c r="AH62">
        <f ca="1">IF($C62-AH$1&lt;År1,0,AG61*(1-VLOOKUP($A62,[1]Hugst!$R$5:$W$9,MATCH(ROUNDUP((AH$1)/10,0)*10,[1]Hugst!$R$4:$W$4,0))))</f>
        <v>0</v>
      </c>
      <c r="AI62">
        <f ca="1">IF($C62-AI$1&lt;År1,0,AH61*(1-VLOOKUP($A62,[1]Hugst!$R$5:$W$9,MATCH(ROUNDUP((AI$1)/10,0)*10,[1]Hugst!$R$4:$W$4,0))))</f>
        <v>0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0</v>
      </c>
      <c r="E63">
        <f t="shared" ca="1" si="0"/>
        <v>0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>
        <f ca="1">IF($C63-G$1&lt;År1,0,F62*(1-VLOOKUP($A63,[1]Hugst!$R$5:$W$9,MATCH(ROUNDUP((G$1)/10,0)*10,[1]Hugst!$R$4:$W$4,0))))</f>
        <v>0</v>
      </c>
      <c r="H63">
        <f ca="1">IF($C63-H$1&lt;År1,0,G62*(1-VLOOKUP($A63,[1]Hugst!$R$5:$W$9,MATCH(ROUNDUP((H$1)/10,0)*10,[1]Hugst!$R$4:$W$4,0))))</f>
        <v>0</v>
      </c>
      <c r="I63">
        <f ca="1">IF($C63-I$1&lt;År1,0,H62*(1-VLOOKUP($A63,[1]Hugst!$R$5:$W$9,MATCH(ROUNDUP((I$1)/10,0)*10,[1]Hugst!$R$4:$W$4,0))))</f>
        <v>0</v>
      </c>
      <c r="J63">
        <f ca="1">IF($C63-J$1&lt;År1,0,I62*(1-VLOOKUP($A63,[1]Hugst!$R$5:$W$9,MATCH(ROUNDUP((J$1)/10,0)*10,[1]Hugst!$R$4:$W$4,0))))</f>
        <v>0</v>
      </c>
      <c r="K63">
        <f ca="1">IF($C63-K$1&lt;År1,0,J62*(1-VLOOKUP($A63,[1]Hugst!$R$5:$W$9,MATCH(ROUNDUP((K$1)/10,0)*10,[1]Hugst!$R$4:$W$4,0))))</f>
        <v>0</v>
      </c>
      <c r="L63">
        <f ca="1">IF($C63-L$1&lt;År1,0,K62*(1-VLOOKUP($A63,[1]Hugst!$R$5:$W$9,MATCH(ROUNDUP((L$1)/10,0)*10,[1]Hugst!$R$4:$W$4,0))))</f>
        <v>0</v>
      </c>
      <c r="M63">
        <f ca="1">IF($C63-M$1&lt;År1,0,L62*(1-VLOOKUP($A63,[1]Hugst!$R$5:$W$9,MATCH(ROUNDUP((M$1)/10,0)*10,[1]Hugst!$R$4:$W$4,0))))</f>
        <v>0</v>
      </c>
      <c r="N63">
        <f ca="1">IF($C63-N$1&lt;År1,0,M62*(1-VLOOKUP($A63,[1]Hugst!$R$5:$W$9,MATCH(ROUNDUP((N$1)/10,0)*10,[1]Hugst!$R$4:$W$4,0))))</f>
        <v>0</v>
      </c>
      <c r="O63">
        <f ca="1">IF($C63-O$1&lt;År1,0,N62*(1-VLOOKUP($A63,[1]Hugst!$R$5:$W$9,MATCH(ROUNDUP((O$1)/10,0)*10,[1]Hugst!$R$4:$W$4,0))))</f>
        <v>0</v>
      </c>
      <c r="P63">
        <f ca="1">IF($C63-P$1&lt;År1,0,O62*(1-VLOOKUP($A63,[1]Hugst!$R$5:$W$9,MATCH(ROUNDUP((P$1)/10,0)*10,[1]Hugst!$R$4:$W$4,0))))</f>
        <v>0</v>
      </c>
      <c r="Q63">
        <f ca="1">IF($C63-Q$1&lt;År1,0,P62*(1-VLOOKUP($A63,[1]Hugst!$R$5:$W$9,MATCH(ROUNDUP((Q$1)/10,0)*10,[1]Hugst!$R$4:$W$4,0))))</f>
        <v>0</v>
      </c>
      <c r="R63">
        <f ca="1">IF($C63-R$1&lt;År1,0,Q62*(1-VLOOKUP($A63,[1]Hugst!$R$5:$W$9,MATCH(ROUNDUP((R$1)/10,0)*10,[1]Hugst!$R$4:$W$4,0))))</f>
        <v>0</v>
      </c>
      <c r="S63">
        <f ca="1">IF($C63-S$1&lt;År1,0,R62*(1-VLOOKUP($A63,[1]Hugst!$R$5:$W$9,MATCH(ROUNDUP((S$1)/10,0)*10,[1]Hugst!$R$4:$W$4,0))))</f>
        <v>0</v>
      </c>
      <c r="T63">
        <f ca="1">IF($C63-T$1&lt;År1,0,S62*(1-VLOOKUP($A63,[1]Hugst!$R$5:$W$9,MATCH(ROUNDUP((T$1)/10,0)*10,[1]Hugst!$R$4:$W$4,0))))</f>
        <v>0</v>
      </c>
      <c r="U63">
        <f ca="1">IF($C63-U$1&lt;År1,0,T62*(1-VLOOKUP($A63,[1]Hugst!$R$5:$W$9,MATCH(ROUNDUP((U$1)/10,0)*10,[1]Hugst!$R$4:$W$4,0))))</f>
        <v>0</v>
      </c>
      <c r="V63">
        <f ca="1">IF($C63-V$1&lt;År1,0,U62*(1-VLOOKUP($A63,[1]Hugst!$R$5:$W$9,MATCH(ROUNDUP((V$1)/10,0)*10,[1]Hugst!$R$4:$W$4,0))))</f>
        <v>0</v>
      </c>
      <c r="W63">
        <f ca="1">IF($C63-W$1&lt;År1,0,V62*(1-VLOOKUP($A63,[1]Hugst!$R$5:$W$9,MATCH(ROUNDUP((W$1)/10,0)*10,[1]Hugst!$R$4:$W$4,0))))</f>
        <v>0</v>
      </c>
      <c r="X63">
        <f ca="1">IF($C63-X$1&lt;År1,0,W62*(1-VLOOKUP($A63,[1]Hugst!$R$5:$W$9,MATCH(ROUNDUP((X$1)/10,0)*10,[1]Hugst!$R$4:$W$4,0))))</f>
        <v>0</v>
      </c>
      <c r="Y63">
        <f ca="1">IF($C63-Y$1&lt;År1,0,X62*(1-VLOOKUP($A63,[1]Hugst!$R$5:$W$9,MATCH(ROUNDUP((Y$1)/10,0)*10,[1]Hugst!$R$4:$W$4,0))))</f>
        <v>0</v>
      </c>
      <c r="Z63">
        <f ca="1">IF($C63-Z$1&lt;År1,0,Y62*(1-VLOOKUP($A63,[1]Hugst!$R$5:$W$9,MATCH(ROUNDUP((Z$1)/10,0)*10,[1]Hugst!$R$4:$W$4,0))))</f>
        <v>0</v>
      </c>
      <c r="AA63">
        <f ca="1">IF($C63-AA$1&lt;År1,0,Z62*(1-VLOOKUP($A63,[1]Hugst!$R$5:$W$9,MATCH(ROUNDUP((AA$1)/10,0)*10,[1]Hugst!$R$4:$W$4,0))))</f>
        <v>0</v>
      </c>
      <c r="AB63">
        <f ca="1">IF($C63-AB$1&lt;År1,0,AA62*(1-VLOOKUP($A63,[1]Hugst!$R$5:$W$9,MATCH(ROUNDUP((AB$1)/10,0)*10,[1]Hugst!$R$4:$W$4,0))))</f>
        <v>0</v>
      </c>
      <c r="AC63">
        <f ca="1">IF($C63-AC$1&lt;År1,0,AB62*(1-VLOOKUP($A63,[1]Hugst!$R$5:$W$9,MATCH(ROUNDUP((AC$1)/10,0)*10,[1]Hugst!$R$4:$W$4,0))))</f>
        <v>0</v>
      </c>
      <c r="AD63">
        <f ca="1">IF($C63-AD$1&lt;År1,0,AC62*(1-VLOOKUP($A63,[1]Hugst!$R$5:$W$9,MATCH(ROUNDUP((AD$1)/10,0)*10,[1]Hugst!$R$4:$W$4,0))))</f>
        <v>0</v>
      </c>
      <c r="AE63">
        <f ca="1">IF($C63-AE$1&lt;År1,0,AD62*(1-VLOOKUP($A63,[1]Hugst!$R$5:$W$9,MATCH(ROUNDUP((AE$1)/10,0)*10,[1]Hugst!$R$4:$W$4,0))))</f>
        <v>0</v>
      </c>
      <c r="AF63">
        <f ca="1">IF($C63-AF$1&lt;År1,0,AE62*(1-VLOOKUP($A63,[1]Hugst!$R$5:$W$9,MATCH(ROUNDUP((AF$1)/10,0)*10,[1]Hugst!$R$4:$W$4,0))))</f>
        <v>0</v>
      </c>
      <c r="AG63">
        <f ca="1">IF($C63-AG$1&lt;År1,0,AF62*(1-VLOOKUP($A63,[1]Hugst!$R$5:$W$9,MATCH(ROUNDUP((AG$1)/10,0)*10,[1]Hugst!$R$4:$W$4,0))))</f>
        <v>0</v>
      </c>
      <c r="AH63">
        <f ca="1">IF($C63-AH$1&lt;År1,0,AG62*(1-VLOOKUP($A63,[1]Hugst!$R$5:$W$9,MATCH(ROUNDUP((AH$1)/10,0)*10,[1]Hugst!$R$4:$W$4,0))))</f>
        <v>0</v>
      </c>
      <c r="AI63">
        <f ca="1">IF($C63-AI$1&lt;År1,0,AH62*(1-VLOOKUP($A63,[1]Hugst!$R$5:$W$9,MATCH(ROUNDUP((AI$1)/10,0)*10,[1]Hugst!$R$4:$W$4,0))))</f>
        <v>0</v>
      </c>
      <c r="AJ63">
        <f ca="1">IF($C63-AJ$1&lt;År1,0,AI62*(1-VLOOKUP($A63,[1]Hugst!$R$5:$W$9,MATCH(ROUNDUP((AJ$1)/10,0)*10,[1]Hugst!$R$4:$W$4,0))))</f>
        <v>0</v>
      </c>
      <c r="AL63">
        <f ca="1">SUM(F63:AJ63)</f>
        <v>0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870.12904324613055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4816.2569893740747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865.77839802987864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4811.9063441578237</v>
      </c>
      <c r="G65">
        <f ca="1">IF($C65-G$1&lt;År1,0,F64*(1-VLOOKUP($A65,[1]Hugst!$R$5:$W$9,MATCH(ROUNDUP((G$1)/10,0)*10,[1]Hugst!$R$4:$W$4,0))))</f>
        <v>4816.2569893740747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861.44950603975485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4807.5774521676994</v>
      </c>
      <c r="G66">
        <f ca="1">IF($C66-G$1&lt;År1,0,F65*(1-VLOOKUP($A66,[1]Hugst!$R$5:$W$9,MATCH(ROUNDUP((G$1)/10,0)*10,[1]Hugst!$R$4:$W$4,0))))</f>
        <v>4811.9063441578237</v>
      </c>
      <c r="H66">
        <f ca="1">IF($C66-H$1&lt;År1,0,G65*(1-VLOOKUP($A66,[1]Hugst!$R$5:$W$9,MATCH(ROUNDUP((H$1)/10,0)*10,[1]Hugst!$R$4:$W$4,0))))</f>
        <v>4816.2569893740747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857.14225850955108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4803.2702046374961</v>
      </c>
      <c r="G67">
        <f ca="1">IF($C67-G$1&lt;År1,0,F66*(1-VLOOKUP($A67,[1]Hugst!$R$5:$W$9,MATCH(ROUNDUP((G$1)/10,0)*10,[1]Hugst!$R$4:$W$4,0))))</f>
        <v>4807.5774521676994</v>
      </c>
      <c r="H67">
        <f ca="1">IF($C67-H$1&lt;År1,0,G66*(1-VLOOKUP($A67,[1]Hugst!$R$5:$W$9,MATCH(ROUNDUP((H$1)/10,0)*10,[1]Hugst!$R$4:$W$4,0))))</f>
        <v>4811.9063441578237</v>
      </c>
      <c r="I67">
        <f ca="1">IF($C67-I$1&lt;År1,0,H66*(1-VLOOKUP($A67,[1]Hugst!$R$5:$W$9,MATCH(ROUNDUP((I$1)/10,0)*10,[1]Hugst!$R$4:$W$4,0))))</f>
        <v>4816.2569893740747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852.85654721700075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4798.9844933449458</v>
      </c>
      <c r="G68">
        <f ca="1">IF($C68-G$1&lt;År1,0,F67*(1-VLOOKUP($A68,[1]Hugst!$R$5:$W$9,MATCH(ROUNDUP((G$1)/10,0)*10,[1]Hugst!$R$4:$W$4,0))))</f>
        <v>4803.2702046374961</v>
      </c>
      <c r="H68">
        <f ca="1">IF($C68-H$1&lt;År1,0,G67*(1-VLOOKUP($A68,[1]Hugst!$R$5:$W$9,MATCH(ROUNDUP((H$1)/10,0)*10,[1]Hugst!$R$4:$W$4,0))))</f>
        <v>4807.5774521676994</v>
      </c>
      <c r="I68">
        <f ca="1">IF($C68-I$1&lt;År1,0,H67*(1-VLOOKUP($A68,[1]Hugst!$R$5:$W$9,MATCH(ROUNDUP((I$1)/10,0)*10,[1]Hugst!$R$4:$W$4,0))))</f>
        <v>4811.9063441578237</v>
      </c>
      <c r="J68">
        <f ca="1">IF($C68-J$1&lt;År1,0,I67*(1-VLOOKUP($A68,[1]Hugst!$R$5:$W$9,MATCH(ROUNDUP((J$1)/10,0)*10,[1]Hugst!$R$4:$W$4,0))))</f>
        <v>4816.2569893740747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848.59226448091249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4794.7202106088571</v>
      </c>
      <c r="G69">
        <f ca="1">IF($C69-G$1&lt;År1,0,F68*(1-VLOOKUP($A69,[1]Hugst!$R$5:$W$9,MATCH(ROUNDUP((G$1)/10,0)*10,[1]Hugst!$R$4:$W$4,0))))</f>
        <v>4798.9844933449458</v>
      </c>
      <c r="H69">
        <f ca="1">IF($C69-H$1&lt;År1,0,G68*(1-VLOOKUP($A69,[1]Hugst!$R$5:$W$9,MATCH(ROUNDUP((H$1)/10,0)*10,[1]Hugst!$R$4:$W$4,0))))</f>
        <v>4803.2702046374961</v>
      </c>
      <c r="I69">
        <f ca="1">IF($C69-I$1&lt;År1,0,H68*(1-VLOOKUP($A69,[1]Hugst!$R$5:$W$9,MATCH(ROUNDUP((I$1)/10,0)*10,[1]Hugst!$R$4:$W$4,0))))</f>
        <v>4807.5774521676994</v>
      </c>
      <c r="J69">
        <f ca="1">IF($C69-J$1&lt;År1,0,I68*(1-VLOOKUP($A69,[1]Hugst!$R$5:$W$9,MATCH(ROUNDUP((J$1)/10,0)*10,[1]Hugst!$R$4:$W$4,0))))</f>
        <v>4811.9063441578237</v>
      </c>
      <c r="K69">
        <f ca="1">IF($C69-K$1&lt;År1,0,J68*(1-VLOOKUP($A69,[1]Hugst!$R$5:$W$9,MATCH(ROUNDUP((K$1)/10,0)*10,[1]Hugst!$R$4:$W$4,0))))</f>
        <v>4816.2569893740747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844.34930315851216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4790.4772492864568</v>
      </c>
      <c r="G70">
        <f ca="1">IF($C70-G$1&lt;År1,0,F69*(1-VLOOKUP($A70,[1]Hugst!$R$5:$W$9,MATCH(ROUNDUP((G$1)/10,0)*10,[1]Hugst!$R$4:$W$4,0))))</f>
        <v>4794.7202106088571</v>
      </c>
      <c r="H70">
        <f ca="1">IF($C70-H$1&lt;År1,0,G69*(1-VLOOKUP($A70,[1]Hugst!$R$5:$W$9,MATCH(ROUNDUP((H$1)/10,0)*10,[1]Hugst!$R$4:$W$4,0))))</f>
        <v>4798.9844933449458</v>
      </c>
      <c r="I70">
        <f ca="1">IF($C70-I$1&lt;År1,0,H69*(1-VLOOKUP($A70,[1]Hugst!$R$5:$W$9,MATCH(ROUNDUP((I$1)/10,0)*10,[1]Hugst!$R$4:$W$4,0))))</f>
        <v>4803.2702046374961</v>
      </c>
      <c r="J70">
        <f ca="1">IF($C70-J$1&lt;År1,0,I69*(1-VLOOKUP($A70,[1]Hugst!$R$5:$W$9,MATCH(ROUNDUP((J$1)/10,0)*10,[1]Hugst!$R$4:$W$4,0))))</f>
        <v>4807.5774521676994</v>
      </c>
      <c r="K70">
        <f ca="1">IF($C70-K$1&lt;År1,0,J69*(1-VLOOKUP($A70,[1]Hugst!$R$5:$W$9,MATCH(ROUNDUP((K$1)/10,0)*10,[1]Hugst!$R$4:$W$4,0))))</f>
        <v>4811.9063441578237</v>
      </c>
      <c r="L70">
        <f ca="1">IF($C70-L$1&lt;År1,0,K69*(1-VLOOKUP($A70,[1]Hugst!$R$5:$W$9,MATCH(ROUNDUP((L$1)/10,0)*10,[1]Hugst!$R$4:$W$4,0))))</f>
        <v>4816.2569893740747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840.12755664272754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4786.2555027706721</v>
      </c>
      <c r="G71">
        <f ca="1">IF($C71-G$1&lt;År1,0,F70*(1-VLOOKUP($A71,[1]Hugst!$R$5:$W$9,MATCH(ROUNDUP((G$1)/10,0)*10,[1]Hugst!$R$4:$W$4,0))))</f>
        <v>4790.4772492864568</v>
      </c>
      <c r="H71">
        <f ca="1">IF($C71-H$1&lt;År1,0,G70*(1-VLOOKUP($A71,[1]Hugst!$R$5:$W$9,MATCH(ROUNDUP((H$1)/10,0)*10,[1]Hugst!$R$4:$W$4,0))))</f>
        <v>4794.7202106088571</v>
      </c>
      <c r="I71">
        <f ca="1">IF($C71-I$1&lt;År1,0,H70*(1-VLOOKUP($A71,[1]Hugst!$R$5:$W$9,MATCH(ROUNDUP((I$1)/10,0)*10,[1]Hugst!$R$4:$W$4,0))))</f>
        <v>4798.9844933449458</v>
      </c>
      <c r="J71">
        <f ca="1">IF($C71-J$1&lt;År1,0,I70*(1-VLOOKUP($A71,[1]Hugst!$R$5:$W$9,MATCH(ROUNDUP((J$1)/10,0)*10,[1]Hugst!$R$4:$W$4,0))))</f>
        <v>4803.2702046374961</v>
      </c>
      <c r="K71">
        <f ca="1">IF($C71-K$1&lt;År1,0,J70*(1-VLOOKUP($A71,[1]Hugst!$R$5:$W$9,MATCH(ROUNDUP((K$1)/10,0)*10,[1]Hugst!$R$4:$W$4,0))))</f>
        <v>4807.5774521676994</v>
      </c>
      <c r="L71">
        <f ca="1">IF($C71-L$1&lt;År1,0,K70*(1-VLOOKUP($A71,[1]Hugst!$R$5:$W$9,MATCH(ROUNDUP((L$1)/10,0)*10,[1]Hugst!$R$4:$W$4,0))))</f>
        <v>4811.9063441578237</v>
      </c>
      <c r="M71">
        <f ca="1">IF($C71-M$1&lt;År1,0,L70*(1-VLOOKUP($A71,[1]Hugst!$R$5:$W$9,MATCH(ROUNDUP((M$1)/10,0)*10,[1]Hugst!$R$4:$W$4,0))))</f>
        <v>4816.2569893740747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835.92691885952354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4782.0548649874681</v>
      </c>
      <c r="G72">
        <f ca="1">IF($C72-G$1&lt;År1,0,F71*(1-VLOOKUP($A72,[1]Hugst!$R$5:$W$9,MATCH(ROUNDUP((G$1)/10,0)*10,[1]Hugst!$R$4:$W$4,0))))</f>
        <v>4786.2555027706721</v>
      </c>
      <c r="H72">
        <f ca="1">IF($C72-H$1&lt;År1,0,G71*(1-VLOOKUP($A72,[1]Hugst!$R$5:$W$9,MATCH(ROUNDUP((H$1)/10,0)*10,[1]Hugst!$R$4:$W$4,0))))</f>
        <v>4790.4772492864568</v>
      </c>
      <c r="I72">
        <f ca="1">IF($C72-I$1&lt;År1,0,H71*(1-VLOOKUP($A72,[1]Hugst!$R$5:$W$9,MATCH(ROUNDUP((I$1)/10,0)*10,[1]Hugst!$R$4:$W$4,0))))</f>
        <v>4794.7202106088571</v>
      </c>
      <c r="J72">
        <f ca="1">IF($C72-J$1&lt;År1,0,I71*(1-VLOOKUP($A72,[1]Hugst!$R$5:$W$9,MATCH(ROUNDUP((J$1)/10,0)*10,[1]Hugst!$R$4:$W$4,0))))</f>
        <v>4798.9844933449458</v>
      </c>
      <c r="K72">
        <f ca="1">IF($C72-K$1&lt;År1,0,J71*(1-VLOOKUP($A72,[1]Hugst!$R$5:$W$9,MATCH(ROUNDUP((K$1)/10,0)*10,[1]Hugst!$R$4:$W$4,0))))</f>
        <v>4803.2702046374961</v>
      </c>
      <c r="L72">
        <f ca="1">IF($C72-L$1&lt;År1,0,K71*(1-VLOOKUP($A72,[1]Hugst!$R$5:$W$9,MATCH(ROUNDUP((L$1)/10,0)*10,[1]Hugst!$R$4:$W$4,0))))</f>
        <v>4807.5774521676994</v>
      </c>
      <c r="M72">
        <f ca="1">IF($C72-M$1&lt;År1,0,L71*(1-VLOOKUP($A72,[1]Hugst!$R$5:$W$9,MATCH(ROUNDUP((M$1)/10,0)*10,[1]Hugst!$R$4:$W$4,0))))</f>
        <v>4811.9063441578237</v>
      </c>
      <c r="N72">
        <f ca="1">IF($C72-N$1&lt;År1,0,M71*(1-VLOOKUP($A72,[1]Hugst!$R$5:$W$9,MATCH(ROUNDUP((N$1)/10,0)*10,[1]Hugst!$R$4:$W$4,0))))</f>
        <v>4816.2569893740747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831.74728426518777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4777.8752303931324</v>
      </c>
      <c r="G73">
        <f ca="1">IF($C73-G$1&lt;År1,0,F72*(1-VLOOKUP($A73,[1]Hugst!$R$5:$W$9,MATCH(ROUNDUP((G$1)/10,0)*10,[1]Hugst!$R$4:$W$4,0))))</f>
        <v>4782.0548649874681</v>
      </c>
      <c r="H73">
        <f ca="1">IF($C73-H$1&lt;År1,0,G72*(1-VLOOKUP($A73,[1]Hugst!$R$5:$W$9,MATCH(ROUNDUP((H$1)/10,0)*10,[1]Hugst!$R$4:$W$4,0))))</f>
        <v>4786.2555027706721</v>
      </c>
      <c r="I73">
        <f ca="1">IF($C73-I$1&lt;År1,0,H72*(1-VLOOKUP($A73,[1]Hugst!$R$5:$W$9,MATCH(ROUNDUP((I$1)/10,0)*10,[1]Hugst!$R$4:$W$4,0))))</f>
        <v>4790.4772492864568</v>
      </c>
      <c r="J73">
        <f ca="1">IF($C73-J$1&lt;År1,0,I72*(1-VLOOKUP($A73,[1]Hugst!$R$5:$W$9,MATCH(ROUNDUP((J$1)/10,0)*10,[1]Hugst!$R$4:$W$4,0))))</f>
        <v>4794.7202106088571</v>
      </c>
      <c r="K73">
        <f ca="1">IF($C73-K$1&lt;År1,0,J72*(1-VLOOKUP($A73,[1]Hugst!$R$5:$W$9,MATCH(ROUNDUP((K$1)/10,0)*10,[1]Hugst!$R$4:$W$4,0))))</f>
        <v>4798.9844933449458</v>
      </c>
      <c r="L73">
        <f ca="1">IF($C73-L$1&lt;År1,0,K72*(1-VLOOKUP($A73,[1]Hugst!$R$5:$W$9,MATCH(ROUNDUP((L$1)/10,0)*10,[1]Hugst!$R$4:$W$4,0))))</f>
        <v>4803.2702046374961</v>
      </c>
      <c r="M73">
        <f ca="1">IF($C73-M$1&lt;År1,0,L72*(1-VLOOKUP($A73,[1]Hugst!$R$5:$W$9,MATCH(ROUNDUP((M$1)/10,0)*10,[1]Hugst!$R$4:$W$4,0))))</f>
        <v>4807.5774521676994</v>
      </c>
      <c r="N73">
        <f ca="1">IF($C73-N$1&lt;År1,0,M72*(1-VLOOKUP($A73,[1]Hugst!$R$5:$W$9,MATCH(ROUNDUP((N$1)/10,0)*10,[1]Hugst!$R$4:$W$4,0))))</f>
        <v>4811.9063441578237</v>
      </c>
      <c r="O73">
        <f ca="1">IF($C73-O$1&lt;År1,0,N72*(1-VLOOKUP($A73,[1]Hugst!$R$5:$W$9,MATCH(ROUNDUP((O$1)/10,0)*10,[1]Hugst!$R$4:$W$4,0))))</f>
        <v>4816.2569893740747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827.58854784390496</v>
      </c>
      <c r="E74">
        <f t="shared" ca="1" si="1"/>
        <v>7.3468326956499368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4781.0633266674995</v>
      </c>
      <c r="G74">
        <f ca="1">IF($C74-G$1&lt;År1,0,F73*(1-VLOOKUP($A74,[1]Hugst!$R$5:$W$9,MATCH(ROUNDUP((G$1)/10,0)*10,[1]Hugst!$R$4:$W$4,0))))</f>
        <v>4777.8752303931324</v>
      </c>
      <c r="H74">
        <f ca="1">IF($C74-H$1&lt;År1,0,G73*(1-VLOOKUP($A74,[1]Hugst!$R$5:$W$9,MATCH(ROUNDUP((H$1)/10,0)*10,[1]Hugst!$R$4:$W$4,0))))</f>
        <v>4782.0548649874681</v>
      </c>
      <c r="I74">
        <f ca="1">IF($C74-I$1&lt;År1,0,H73*(1-VLOOKUP($A74,[1]Hugst!$R$5:$W$9,MATCH(ROUNDUP((I$1)/10,0)*10,[1]Hugst!$R$4:$W$4,0))))</f>
        <v>4786.2555027706721</v>
      </c>
      <c r="J74">
        <f ca="1">IF($C74-J$1&lt;År1,0,I73*(1-VLOOKUP($A74,[1]Hugst!$R$5:$W$9,MATCH(ROUNDUP((J$1)/10,0)*10,[1]Hugst!$R$4:$W$4,0))))</f>
        <v>4790.4772492864568</v>
      </c>
      <c r="K74">
        <f ca="1">IF($C74-K$1&lt;År1,0,J73*(1-VLOOKUP($A74,[1]Hugst!$R$5:$W$9,MATCH(ROUNDUP((K$1)/10,0)*10,[1]Hugst!$R$4:$W$4,0))))</f>
        <v>4794.7202106088571</v>
      </c>
      <c r="L74">
        <f ca="1">IF($C74-L$1&lt;År1,0,K73*(1-VLOOKUP($A74,[1]Hugst!$R$5:$W$9,MATCH(ROUNDUP((L$1)/10,0)*10,[1]Hugst!$R$4:$W$4,0))))</f>
        <v>4798.9844933449458</v>
      </c>
      <c r="M74">
        <f ca="1">IF($C74-M$1&lt;År1,0,L73*(1-VLOOKUP($A74,[1]Hugst!$R$5:$W$9,MATCH(ROUNDUP((M$1)/10,0)*10,[1]Hugst!$R$4:$W$4,0))))</f>
        <v>4803.2702046374961</v>
      </c>
      <c r="N74">
        <f ca="1">IF($C74-N$1&lt;År1,0,M73*(1-VLOOKUP($A74,[1]Hugst!$R$5:$W$9,MATCH(ROUNDUP((N$1)/10,0)*10,[1]Hugst!$R$4:$W$4,0))))</f>
        <v>4807.5774521676994</v>
      </c>
      <c r="O74">
        <f ca="1">IF($C74-O$1&lt;År1,0,N73*(1-VLOOKUP($A74,[1]Hugst!$R$5:$W$9,MATCH(ROUNDUP((O$1)/10,0)*10,[1]Hugst!$R$4:$W$4,0))))</f>
        <v>4811.9063441578237</v>
      </c>
      <c r="P74">
        <f ca="1">IF($C74-P$1&lt;År1,0,O73*(1-VLOOKUP($A74,[1]Hugst!$R$5:$W$9,MATCH(ROUNDUP((P$1)/10,0)*10,[1]Hugst!$R$4:$W$4,0))))</f>
        <v>4808.9101566784193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823.4506051046319</v>
      </c>
      <c r="E75">
        <f t="shared" ca="1" si="1"/>
        <v>14.675821780940169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3008.496797255943</v>
      </c>
      <c r="G75">
        <f ca="1">IF($C75-G$1&lt;År1,0,F74*(1-VLOOKUP($A75,[1]Hugst!$R$5:$W$9,MATCH(ROUNDUP((G$1)/10,0)*10,[1]Hugst!$R$4:$W$4,0))))</f>
        <v>4781.0633266674995</v>
      </c>
      <c r="H75">
        <f ca="1">IF($C75-H$1&lt;År1,0,G74*(1-VLOOKUP($A75,[1]Hugst!$R$5:$W$9,MATCH(ROUNDUP((H$1)/10,0)*10,[1]Hugst!$R$4:$W$4,0))))</f>
        <v>4777.8752303931324</v>
      </c>
      <c r="I75">
        <f ca="1">IF($C75-I$1&lt;År1,0,H74*(1-VLOOKUP($A75,[1]Hugst!$R$5:$W$9,MATCH(ROUNDUP((I$1)/10,0)*10,[1]Hugst!$R$4:$W$4,0))))</f>
        <v>4782.0548649874681</v>
      </c>
      <c r="J75">
        <f ca="1">IF($C75-J$1&lt;År1,0,I74*(1-VLOOKUP($A75,[1]Hugst!$R$5:$W$9,MATCH(ROUNDUP((J$1)/10,0)*10,[1]Hugst!$R$4:$W$4,0))))</f>
        <v>4786.2555027706721</v>
      </c>
      <c r="K75">
        <f ca="1">IF($C75-K$1&lt;År1,0,J74*(1-VLOOKUP($A75,[1]Hugst!$R$5:$W$9,MATCH(ROUNDUP((K$1)/10,0)*10,[1]Hugst!$R$4:$W$4,0))))</f>
        <v>4790.4772492864568</v>
      </c>
      <c r="L75">
        <f ca="1">IF($C75-L$1&lt;År1,0,K74*(1-VLOOKUP($A75,[1]Hugst!$R$5:$W$9,MATCH(ROUNDUP((L$1)/10,0)*10,[1]Hugst!$R$4:$W$4,0))))</f>
        <v>4794.7202106088571</v>
      </c>
      <c r="M75">
        <f ca="1">IF($C75-M$1&lt;År1,0,L74*(1-VLOOKUP($A75,[1]Hugst!$R$5:$W$9,MATCH(ROUNDUP((M$1)/10,0)*10,[1]Hugst!$R$4:$W$4,0))))</f>
        <v>4798.9844933449458</v>
      </c>
      <c r="N75">
        <f ca="1">IF($C75-N$1&lt;År1,0,M74*(1-VLOOKUP($A75,[1]Hugst!$R$5:$W$9,MATCH(ROUNDUP((N$1)/10,0)*10,[1]Hugst!$R$4:$W$4,0))))</f>
        <v>4803.2702046374961</v>
      </c>
      <c r="O75">
        <f ca="1">IF($C75-O$1&lt;År1,0,N74*(1-VLOOKUP($A75,[1]Hugst!$R$5:$W$9,MATCH(ROUNDUP((O$1)/10,0)*10,[1]Hugst!$R$4:$W$4,0))))</f>
        <v>4807.5774521676994</v>
      </c>
      <c r="P75">
        <f ca="1">IF($C75-P$1&lt;År1,0,O74*(1-VLOOKUP($A75,[1]Hugst!$R$5:$W$9,MATCH(ROUNDUP((P$1)/10,0)*10,[1]Hugst!$R$4:$W$4,0))))</f>
        <v>4804.5661480396166</v>
      </c>
      <c r="Q75">
        <f ca="1">IF($C75-Q$1&lt;År1,0,P74*(1-VLOOKUP($A75,[1]Hugst!$R$5:$W$9,MATCH(ROUNDUP((Q$1)/10,0)*10,[1]Hugst!$R$4:$W$4,0))))</f>
        <v>4801.574531015689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819.33335207914934</v>
      </c>
      <c r="E76">
        <f t="shared" ca="1" si="1"/>
        <v>21.987027657800354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3011.6907501073206</v>
      </c>
      <c r="G76">
        <f ca="1">IF($C76-G$1&lt;År1,0,F75*(1-VLOOKUP($A76,[1]Hugst!$R$5:$W$9,MATCH(ROUNDUP((G$1)/10,0)*10,[1]Hugst!$R$4:$W$4,0))))</f>
        <v>3008.496797255943</v>
      </c>
      <c r="H76">
        <f ca="1">IF($C76-H$1&lt;År1,0,G75*(1-VLOOKUP($A76,[1]Hugst!$R$5:$W$9,MATCH(ROUNDUP((H$1)/10,0)*10,[1]Hugst!$R$4:$W$4,0))))</f>
        <v>4781.0633266674995</v>
      </c>
      <c r="I76">
        <f ca="1">IF($C76-I$1&lt;År1,0,H75*(1-VLOOKUP($A76,[1]Hugst!$R$5:$W$9,MATCH(ROUNDUP((I$1)/10,0)*10,[1]Hugst!$R$4:$W$4,0))))</f>
        <v>4777.8752303931324</v>
      </c>
      <c r="J76">
        <f ca="1">IF($C76-J$1&lt;År1,0,I75*(1-VLOOKUP($A76,[1]Hugst!$R$5:$W$9,MATCH(ROUNDUP((J$1)/10,0)*10,[1]Hugst!$R$4:$W$4,0))))</f>
        <v>4782.0548649874681</v>
      </c>
      <c r="K76">
        <f ca="1">IF($C76-K$1&lt;År1,0,J75*(1-VLOOKUP($A76,[1]Hugst!$R$5:$W$9,MATCH(ROUNDUP((K$1)/10,0)*10,[1]Hugst!$R$4:$W$4,0))))</f>
        <v>4786.2555027706721</v>
      </c>
      <c r="L76">
        <f ca="1">IF($C76-L$1&lt;År1,0,K75*(1-VLOOKUP($A76,[1]Hugst!$R$5:$W$9,MATCH(ROUNDUP((L$1)/10,0)*10,[1]Hugst!$R$4:$W$4,0))))</f>
        <v>4790.4772492864568</v>
      </c>
      <c r="M76">
        <f ca="1">IF($C76-M$1&lt;År1,0,L75*(1-VLOOKUP($A76,[1]Hugst!$R$5:$W$9,MATCH(ROUNDUP((M$1)/10,0)*10,[1]Hugst!$R$4:$W$4,0))))</f>
        <v>4794.7202106088571</v>
      </c>
      <c r="N76">
        <f ca="1">IF($C76-N$1&lt;År1,0,M75*(1-VLOOKUP($A76,[1]Hugst!$R$5:$W$9,MATCH(ROUNDUP((N$1)/10,0)*10,[1]Hugst!$R$4:$W$4,0))))</f>
        <v>4798.9844933449458</v>
      </c>
      <c r="O76">
        <f ca="1">IF($C76-O$1&lt;År1,0,N75*(1-VLOOKUP($A76,[1]Hugst!$R$5:$W$9,MATCH(ROUNDUP((O$1)/10,0)*10,[1]Hugst!$R$4:$W$4,0))))</f>
        <v>4803.2702046374961</v>
      </c>
      <c r="P76">
        <f ca="1">IF($C76-P$1&lt;År1,0,O75*(1-VLOOKUP($A76,[1]Hugst!$R$5:$W$9,MATCH(ROUNDUP((P$1)/10,0)*10,[1]Hugst!$R$4:$W$4,0))))</f>
        <v>4800.2438594440537</v>
      </c>
      <c r="Q76">
        <f ca="1">IF($C76-Q$1&lt;År1,0,P75*(1-VLOOKUP($A76,[1]Hugst!$R$5:$W$9,MATCH(ROUNDUP((Q$1)/10,0)*10,[1]Hugst!$R$4:$W$4,0))))</f>
        <v>4797.2371488307426</v>
      </c>
      <c r="R76">
        <f ca="1">IF($C76-R$1&lt;År1,0,Q75*(1-VLOOKUP($A76,[1]Hugst!$R$5:$W$9,MATCH(ROUNDUP((R$1)/10,0)*10,[1]Hugst!$R$4:$W$4,0))))</f>
        <v>4794.2500952904111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815.23668531873227</v>
      </c>
      <c r="E77">
        <f t="shared" ca="1" si="1"/>
        <v>29.280510470132867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3014.887566159236</v>
      </c>
      <c r="G77">
        <f ca="1">IF($C77-G$1&lt;År1,0,F76*(1-VLOOKUP($A77,[1]Hugst!$R$5:$W$9,MATCH(ROUNDUP((G$1)/10,0)*10,[1]Hugst!$R$4:$W$4,0))))</f>
        <v>3011.6907501073206</v>
      </c>
      <c r="H77">
        <f ca="1">IF($C77-H$1&lt;År1,0,G76*(1-VLOOKUP($A77,[1]Hugst!$R$5:$W$9,MATCH(ROUNDUP((H$1)/10,0)*10,[1]Hugst!$R$4:$W$4,0))))</f>
        <v>3008.496797255943</v>
      </c>
      <c r="I77">
        <f ca="1">IF($C77-I$1&lt;År1,0,H76*(1-VLOOKUP($A77,[1]Hugst!$R$5:$W$9,MATCH(ROUNDUP((I$1)/10,0)*10,[1]Hugst!$R$4:$W$4,0))))</f>
        <v>4781.0633266674995</v>
      </c>
      <c r="J77">
        <f ca="1">IF($C77-J$1&lt;År1,0,I76*(1-VLOOKUP($A77,[1]Hugst!$R$5:$W$9,MATCH(ROUNDUP((J$1)/10,0)*10,[1]Hugst!$R$4:$W$4,0))))</f>
        <v>4777.8752303931324</v>
      </c>
      <c r="K77">
        <f ca="1">IF($C77-K$1&lt;År1,0,J76*(1-VLOOKUP($A77,[1]Hugst!$R$5:$W$9,MATCH(ROUNDUP((K$1)/10,0)*10,[1]Hugst!$R$4:$W$4,0))))</f>
        <v>4782.0548649874681</v>
      </c>
      <c r="L77">
        <f ca="1">IF($C77-L$1&lt;År1,0,K76*(1-VLOOKUP($A77,[1]Hugst!$R$5:$W$9,MATCH(ROUNDUP((L$1)/10,0)*10,[1]Hugst!$R$4:$W$4,0))))</f>
        <v>4786.2555027706721</v>
      </c>
      <c r="M77">
        <f ca="1">IF($C77-M$1&lt;År1,0,L76*(1-VLOOKUP($A77,[1]Hugst!$R$5:$W$9,MATCH(ROUNDUP((M$1)/10,0)*10,[1]Hugst!$R$4:$W$4,0))))</f>
        <v>4790.4772492864568</v>
      </c>
      <c r="N77">
        <f ca="1">IF($C77-N$1&lt;År1,0,M76*(1-VLOOKUP($A77,[1]Hugst!$R$5:$W$9,MATCH(ROUNDUP((N$1)/10,0)*10,[1]Hugst!$R$4:$W$4,0))))</f>
        <v>4794.7202106088571</v>
      </c>
      <c r="O77">
        <f ca="1">IF($C77-O$1&lt;År1,0,N76*(1-VLOOKUP($A77,[1]Hugst!$R$5:$W$9,MATCH(ROUNDUP((O$1)/10,0)*10,[1]Hugst!$R$4:$W$4,0))))</f>
        <v>4798.9844933449458</v>
      </c>
      <c r="P77">
        <f ca="1">IF($C77-P$1&lt;År1,0,O76*(1-VLOOKUP($A77,[1]Hugst!$R$5:$W$9,MATCH(ROUNDUP((P$1)/10,0)*10,[1]Hugst!$R$4:$W$4,0))))</f>
        <v>4795.9431822914385</v>
      </c>
      <c r="Q77">
        <f ca="1">IF($C77-Q$1&lt;År1,0,P76*(1-VLOOKUP($A77,[1]Hugst!$R$5:$W$9,MATCH(ROUNDUP((Q$1)/10,0)*10,[1]Hugst!$R$4:$W$4,0))))</f>
        <v>4792.9214535567662</v>
      </c>
      <c r="R77">
        <f ca="1">IF($C77-R$1&lt;År1,0,Q76*(1-VLOOKUP($A77,[1]Hugst!$R$5:$W$9,MATCH(ROUNDUP((R$1)/10,0)*10,[1]Hugst!$R$4:$W$4,0))))</f>
        <v>4789.9193294511706</v>
      </c>
      <c r="S77">
        <f ca="1">IF($C77-S$1&lt;År1,0,R76*(1-VLOOKUP($A77,[1]Hugst!$R$5:$W$9,MATCH(ROUNDUP((S$1)/10,0)*10,[1]Hugst!$R$4:$W$4,0))))</f>
        <v>4786.9368324331881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811.16050189214184</v>
      </c>
      <c r="E78">
        <f t="shared" ca="1" si="1"/>
        <v>36.556330105042434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3018.0872023675552</v>
      </c>
      <c r="G78">
        <f ca="1">IF($C78-G$1&lt;År1,0,F77*(1-VLOOKUP($A78,[1]Hugst!$R$5:$W$9,MATCH(ROUNDUP((G$1)/10,0)*10,[1]Hugst!$R$4:$W$4,0))))</f>
        <v>3014.887566159236</v>
      </c>
      <c r="H78">
        <f ca="1">IF($C78-H$1&lt;År1,0,G77*(1-VLOOKUP($A78,[1]Hugst!$R$5:$W$9,MATCH(ROUNDUP((H$1)/10,0)*10,[1]Hugst!$R$4:$W$4,0))))</f>
        <v>3011.6907501073206</v>
      </c>
      <c r="I78">
        <f ca="1">IF($C78-I$1&lt;År1,0,H77*(1-VLOOKUP($A78,[1]Hugst!$R$5:$W$9,MATCH(ROUNDUP((I$1)/10,0)*10,[1]Hugst!$R$4:$W$4,0))))</f>
        <v>3008.496797255943</v>
      </c>
      <c r="J78">
        <f ca="1">IF($C78-J$1&lt;År1,0,I77*(1-VLOOKUP($A78,[1]Hugst!$R$5:$W$9,MATCH(ROUNDUP((J$1)/10,0)*10,[1]Hugst!$R$4:$W$4,0))))</f>
        <v>4781.0633266674995</v>
      </c>
      <c r="K78">
        <f ca="1">IF($C78-K$1&lt;År1,0,J77*(1-VLOOKUP($A78,[1]Hugst!$R$5:$W$9,MATCH(ROUNDUP((K$1)/10,0)*10,[1]Hugst!$R$4:$W$4,0))))</f>
        <v>4777.8752303931324</v>
      </c>
      <c r="L78">
        <f ca="1">IF($C78-L$1&lt;År1,0,K77*(1-VLOOKUP($A78,[1]Hugst!$R$5:$W$9,MATCH(ROUNDUP((L$1)/10,0)*10,[1]Hugst!$R$4:$W$4,0))))</f>
        <v>4782.0548649874681</v>
      </c>
      <c r="M78">
        <f ca="1">IF($C78-M$1&lt;År1,0,L77*(1-VLOOKUP($A78,[1]Hugst!$R$5:$W$9,MATCH(ROUNDUP((M$1)/10,0)*10,[1]Hugst!$R$4:$W$4,0))))</f>
        <v>4786.2555027706721</v>
      </c>
      <c r="N78">
        <f ca="1">IF($C78-N$1&lt;År1,0,M77*(1-VLOOKUP($A78,[1]Hugst!$R$5:$W$9,MATCH(ROUNDUP((N$1)/10,0)*10,[1]Hugst!$R$4:$W$4,0))))</f>
        <v>4790.4772492864568</v>
      </c>
      <c r="O78">
        <f ca="1">IF($C78-O$1&lt;År1,0,N77*(1-VLOOKUP($A78,[1]Hugst!$R$5:$W$9,MATCH(ROUNDUP((O$1)/10,0)*10,[1]Hugst!$R$4:$W$4,0))))</f>
        <v>4794.7202106088571</v>
      </c>
      <c r="P78">
        <f ca="1">IF($C78-P$1&lt;År1,0,O77*(1-VLOOKUP($A78,[1]Hugst!$R$5:$W$9,MATCH(ROUNDUP((P$1)/10,0)*10,[1]Hugst!$R$4:$W$4,0))))</f>
        <v>4791.664008524589</v>
      </c>
      <c r="Q78">
        <f ca="1">IF($C78-Q$1&lt;År1,0,P77*(1-VLOOKUP($A78,[1]Hugst!$R$5:$W$9,MATCH(ROUNDUP((Q$1)/10,0)*10,[1]Hugst!$R$4:$W$4,0))))</f>
        <v>4788.6273367591293</v>
      </c>
      <c r="R78">
        <f ca="1">IF($C78-R$1&lt;År1,0,Q77*(1-VLOOKUP($A78,[1]Hugst!$R$5:$W$9,MATCH(ROUNDUP((R$1)/10,0)*10,[1]Hugst!$R$4:$W$4,0))))</f>
        <v>4785.6102174411708</v>
      </c>
      <c r="S78">
        <f ca="1">IF($C78-S$1&lt;År1,0,R77*(1-VLOOKUP($A78,[1]Hugst!$R$5:$W$9,MATCH(ROUNDUP((S$1)/10,0)*10,[1]Hugst!$R$4:$W$4,0))))</f>
        <v>4782.6126728469226</v>
      </c>
      <c r="T78">
        <f ca="1">IF($C78-T$1&lt;År1,0,S77*(1-VLOOKUP($A78,[1]Hugst!$R$5:$W$9,MATCH(ROUNDUP((T$1)/10,0)*10,[1]Hugst!$R$4:$W$4,0))))</f>
        <v>4779.6347254006623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807.10469938269853</v>
      </c>
      <c r="E79">
        <f t="shared" ca="1" si="1"/>
        <v>43.814546193934802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3021.2896159470042</v>
      </c>
      <c r="G79">
        <f ca="1">IF($C79-G$1&lt;År1,0,F78*(1-VLOOKUP($A79,[1]Hugst!$R$5:$W$9,MATCH(ROUNDUP((G$1)/10,0)*10,[1]Hugst!$R$4:$W$4,0))))</f>
        <v>3018.0872023675552</v>
      </c>
      <c r="H79">
        <f ca="1">IF($C79-H$1&lt;År1,0,G78*(1-VLOOKUP($A79,[1]Hugst!$R$5:$W$9,MATCH(ROUNDUP((H$1)/10,0)*10,[1]Hugst!$R$4:$W$4,0))))</f>
        <v>3014.887566159236</v>
      </c>
      <c r="I79">
        <f ca="1">IF($C79-I$1&lt;År1,0,H78*(1-VLOOKUP($A79,[1]Hugst!$R$5:$W$9,MATCH(ROUNDUP((I$1)/10,0)*10,[1]Hugst!$R$4:$W$4,0))))</f>
        <v>3011.6907501073206</v>
      </c>
      <c r="J79">
        <f ca="1">IF($C79-J$1&lt;År1,0,I78*(1-VLOOKUP($A79,[1]Hugst!$R$5:$W$9,MATCH(ROUNDUP((J$1)/10,0)*10,[1]Hugst!$R$4:$W$4,0))))</f>
        <v>3008.496797255943</v>
      </c>
      <c r="K79">
        <f ca="1">IF($C79-K$1&lt;År1,0,J78*(1-VLOOKUP($A79,[1]Hugst!$R$5:$W$9,MATCH(ROUNDUP((K$1)/10,0)*10,[1]Hugst!$R$4:$W$4,0))))</f>
        <v>4781.0633266674995</v>
      </c>
      <c r="L79">
        <f ca="1">IF($C79-L$1&lt;År1,0,K78*(1-VLOOKUP($A79,[1]Hugst!$R$5:$W$9,MATCH(ROUNDUP((L$1)/10,0)*10,[1]Hugst!$R$4:$W$4,0))))</f>
        <v>4777.8752303931324</v>
      </c>
      <c r="M79">
        <f ca="1">IF($C79-M$1&lt;År1,0,L78*(1-VLOOKUP($A79,[1]Hugst!$R$5:$W$9,MATCH(ROUNDUP((M$1)/10,0)*10,[1]Hugst!$R$4:$W$4,0))))</f>
        <v>4782.0548649874681</v>
      </c>
      <c r="N79">
        <f ca="1">IF($C79-N$1&lt;År1,0,M78*(1-VLOOKUP($A79,[1]Hugst!$R$5:$W$9,MATCH(ROUNDUP((N$1)/10,0)*10,[1]Hugst!$R$4:$W$4,0))))</f>
        <v>4786.2555027706721</v>
      </c>
      <c r="O79">
        <f ca="1">IF($C79-O$1&lt;År1,0,N78*(1-VLOOKUP($A79,[1]Hugst!$R$5:$W$9,MATCH(ROUNDUP((O$1)/10,0)*10,[1]Hugst!$R$4:$W$4,0))))</f>
        <v>4790.4772492864568</v>
      </c>
      <c r="P79">
        <f ca="1">IF($C79-P$1&lt;År1,0,O78*(1-VLOOKUP($A79,[1]Hugst!$R$5:$W$9,MATCH(ROUNDUP((P$1)/10,0)*10,[1]Hugst!$R$4:$W$4,0))))</f>
        <v>4787.4062306265723</v>
      </c>
      <c r="Q79">
        <f ca="1">IF($C79-Q$1&lt;År1,0,P78*(1-VLOOKUP($A79,[1]Hugst!$R$5:$W$9,MATCH(ROUNDUP((Q$1)/10,0)*10,[1]Hugst!$R$4:$W$4,0))))</f>
        <v>4784.3546905454832</v>
      </c>
      <c r="R79">
        <f ca="1">IF($C79-R$1&lt;År1,0,Q78*(1-VLOOKUP($A79,[1]Hugst!$R$5:$W$9,MATCH(ROUNDUP((R$1)/10,0)*10,[1]Hugst!$R$4:$W$4,0))))</f>
        <v>4781.3226509911919</v>
      </c>
      <c r="S79">
        <f ca="1">IF($C79-S$1&lt;År1,0,R78*(1-VLOOKUP($A79,[1]Hugst!$R$5:$W$9,MATCH(ROUNDUP((S$1)/10,0)*10,[1]Hugst!$R$4:$W$4,0))))</f>
        <v>4778.3101340586336</v>
      </c>
      <c r="T79">
        <f ca="1">IF($C79-T$1&lt;År1,0,S78*(1-VLOOKUP($A79,[1]Hugst!$R$5:$W$9,MATCH(ROUNDUP((T$1)/10,0)*10,[1]Hugst!$R$4:$W$4,0))))</f>
        <v>4775.3171619900377</v>
      </c>
      <c r="U79">
        <f ca="1">IF($C79-U$1&lt;År1,0,T78*(1-VLOOKUP($A79,[1]Hugst!$R$5:$W$9,MATCH(ROUNDUP((U$1)/10,0)*10,[1]Hugst!$R$4:$W$4,0))))</f>
        <v>4772.3437571754748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803.06917588578108</v>
      </c>
      <c r="E80">
        <f t="shared" ca="1" si="1"/>
        <v>51.055218113906449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3024.4947643700584</v>
      </c>
      <c r="G80">
        <f ca="1">IF($C80-G$1&lt;År1,0,F79*(1-VLOOKUP($A80,[1]Hugst!$R$5:$W$9,MATCH(ROUNDUP((G$1)/10,0)*10,[1]Hugst!$R$4:$W$4,0))))</f>
        <v>3021.2896159470042</v>
      </c>
      <c r="H80">
        <f ca="1">IF($C80-H$1&lt;År1,0,G79*(1-VLOOKUP($A80,[1]Hugst!$R$5:$W$9,MATCH(ROUNDUP((H$1)/10,0)*10,[1]Hugst!$R$4:$W$4,0))))</f>
        <v>3018.0872023675552</v>
      </c>
      <c r="I80">
        <f ca="1">IF($C80-I$1&lt;År1,0,H79*(1-VLOOKUP($A80,[1]Hugst!$R$5:$W$9,MATCH(ROUNDUP((I$1)/10,0)*10,[1]Hugst!$R$4:$W$4,0))))</f>
        <v>3014.887566159236</v>
      </c>
      <c r="J80">
        <f ca="1">IF($C80-J$1&lt;År1,0,I79*(1-VLOOKUP($A80,[1]Hugst!$R$5:$W$9,MATCH(ROUNDUP((J$1)/10,0)*10,[1]Hugst!$R$4:$W$4,0))))</f>
        <v>3011.6907501073206</v>
      </c>
      <c r="K80">
        <f ca="1">IF($C80-K$1&lt;År1,0,J79*(1-VLOOKUP($A80,[1]Hugst!$R$5:$W$9,MATCH(ROUNDUP((K$1)/10,0)*10,[1]Hugst!$R$4:$W$4,0))))</f>
        <v>3008.496797255943</v>
      </c>
      <c r="L80">
        <f ca="1">IF($C80-L$1&lt;År1,0,K79*(1-VLOOKUP($A80,[1]Hugst!$R$5:$W$9,MATCH(ROUNDUP((L$1)/10,0)*10,[1]Hugst!$R$4:$W$4,0))))</f>
        <v>4781.0633266674995</v>
      </c>
      <c r="M80">
        <f ca="1">IF($C80-M$1&lt;År1,0,L79*(1-VLOOKUP($A80,[1]Hugst!$R$5:$W$9,MATCH(ROUNDUP((M$1)/10,0)*10,[1]Hugst!$R$4:$W$4,0))))</f>
        <v>4777.8752303931324</v>
      </c>
      <c r="N80">
        <f ca="1">IF($C80-N$1&lt;År1,0,M79*(1-VLOOKUP($A80,[1]Hugst!$R$5:$W$9,MATCH(ROUNDUP((N$1)/10,0)*10,[1]Hugst!$R$4:$W$4,0))))</f>
        <v>4782.0548649874681</v>
      </c>
      <c r="O80">
        <f ca="1">IF($C80-O$1&lt;År1,0,N79*(1-VLOOKUP($A80,[1]Hugst!$R$5:$W$9,MATCH(ROUNDUP((O$1)/10,0)*10,[1]Hugst!$R$4:$W$4,0))))</f>
        <v>4786.2555027706721</v>
      </c>
      <c r="P80">
        <f ca="1">IF($C80-P$1&lt;År1,0,O79*(1-VLOOKUP($A80,[1]Hugst!$R$5:$W$9,MATCH(ROUNDUP((P$1)/10,0)*10,[1]Hugst!$R$4:$W$4,0))))</f>
        <v>4783.1697416180532</v>
      </c>
      <c r="Q80">
        <f ca="1">IF($C80-Q$1&lt;År1,0,P79*(1-VLOOKUP($A80,[1]Hugst!$R$5:$W$9,MATCH(ROUNDUP((Q$1)/10,0)*10,[1]Hugst!$R$4:$W$4,0))))</f>
        <v>4780.1034075629041</v>
      </c>
      <c r="R80">
        <f ca="1">IF($C80-R$1&lt;År1,0,Q79*(1-VLOOKUP($A80,[1]Hugst!$R$5:$W$9,MATCH(ROUNDUP((R$1)/10,0)*10,[1]Hugst!$R$4:$W$4,0))))</f>
        <v>4777.0565223734648</v>
      </c>
      <c r="S80">
        <f ca="1">IF($C80-S$1&lt;År1,0,R79*(1-VLOOKUP($A80,[1]Hugst!$R$5:$W$9,MATCH(ROUNDUP((S$1)/10,0)*10,[1]Hugst!$R$4:$W$4,0))))</f>
        <v>4774.0291079642557</v>
      </c>
      <c r="T80">
        <f ca="1">IF($C80-T$1&lt;År1,0,S79*(1-VLOOKUP($A80,[1]Hugst!$R$5:$W$9,MATCH(ROUNDUP((T$1)/10,0)*10,[1]Hugst!$R$4:$W$4,0))))</f>
        <v>4771.0211863965105</v>
      </c>
      <c r="U80">
        <f ca="1">IF($C80-U$1&lt;År1,0,T79*(1-VLOOKUP($A80,[1]Hugst!$R$5:$W$9,MATCH(ROUNDUP((U$1)/10,0)*10,[1]Hugst!$R$4:$W$4,0))))</f>
        <v>4768.0327798785274</v>
      </c>
      <c r="V80">
        <f ca="1">IF($C80-V$1&lt;År1,0,U79*(1-VLOOKUP($A80,[1]Hugst!$R$5:$W$9,MATCH(ROUNDUP((V$1)/10,0)*10,[1]Hugst!$R$4:$W$4,0))))</f>
        <v>4765.0639107662237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799.05383000634538</v>
      </c>
      <c r="E81">
        <f t="shared" ca="1" si="1"/>
        <v>58.278404988814145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3027.7026053655304</v>
      </c>
      <c r="G81">
        <f ca="1">IF($C81-G$1&lt;År1,0,F80*(1-VLOOKUP($A81,[1]Hugst!$R$5:$W$9,MATCH(ROUNDUP((G$1)/10,0)*10,[1]Hugst!$R$4:$W$4,0))))</f>
        <v>3024.4947643700584</v>
      </c>
      <c r="H81">
        <f ca="1">IF($C81-H$1&lt;År1,0,G80*(1-VLOOKUP($A81,[1]Hugst!$R$5:$W$9,MATCH(ROUNDUP((H$1)/10,0)*10,[1]Hugst!$R$4:$W$4,0))))</f>
        <v>3021.2896159470042</v>
      </c>
      <c r="I81">
        <f ca="1">IF($C81-I$1&lt;År1,0,H80*(1-VLOOKUP($A81,[1]Hugst!$R$5:$W$9,MATCH(ROUNDUP((I$1)/10,0)*10,[1]Hugst!$R$4:$W$4,0))))</f>
        <v>3018.0872023675552</v>
      </c>
      <c r="J81">
        <f ca="1">IF($C81-J$1&lt;År1,0,I80*(1-VLOOKUP($A81,[1]Hugst!$R$5:$W$9,MATCH(ROUNDUP((J$1)/10,0)*10,[1]Hugst!$R$4:$W$4,0))))</f>
        <v>3014.887566159236</v>
      </c>
      <c r="K81">
        <f ca="1">IF($C81-K$1&lt;År1,0,J80*(1-VLOOKUP($A81,[1]Hugst!$R$5:$W$9,MATCH(ROUNDUP((K$1)/10,0)*10,[1]Hugst!$R$4:$W$4,0))))</f>
        <v>3011.6907501073206</v>
      </c>
      <c r="L81">
        <f ca="1">IF($C81-L$1&lt;År1,0,K80*(1-VLOOKUP($A81,[1]Hugst!$R$5:$W$9,MATCH(ROUNDUP((L$1)/10,0)*10,[1]Hugst!$R$4:$W$4,0))))</f>
        <v>3008.496797255943</v>
      </c>
      <c r="M81">
        <f ca="1">IF($C81-M$1&lt;År1,0,L80*(1-VLOOKUP($A81,[1]Hugst!$R$5:$W$9,MATCH(ROUNDUP((M$1)/10,0)*10,[1]Hugst!$R$4:$W$4,0))))</f>
        <v>4781.0633266674995</v>
      </c>
      <c r="N81">
        <f ca="1">IF($C81-N$1&lt;År1,0,M80*(1-VLOOKUP($A81,[1]Hugst!$R$5:$W$9,MATCH(ROUNDUP((N$1)/10,0)*10,[1]Hugst!$R$4:$W$4,0))))</f>
        <v>4777.8752303931324</v>
      </c>
      <c r="O81">
        <f ca="1">IF($C81-O$1&lt;År1,0,N80*(1-VLOOKUP($A81,[1]Hugst!$R$5:$W$9,MATCH(ROUNDUP((O$1)/10,0)*10,[1]Hugst!$R$4:$W$4,0))))</f>
        <v>4782.0548649874681</v>
      </c>
      <c r="P81">
        <f ca="1">IF($C81-P$1&lt;År1,0,O80*(1-VLOOKUP($A81,[1]Hugst!$R$5:$W$9,MATCH(ROUNDUP((P$1)/10,0)*10,[1]Hugst!$R$4:$W$4,0))))</f>
        <v>4778.9544350545812</v>
      </c>
      <c r="Q81">
        <f ca="1">IF($C81-Q$1&lt;År1,0,P80*(1-VLOOKUP($A81,[1]Hugst!$R$5:$W$9,MATCH(ROUNDUP((Q$1)/10,0)*10,[1]Hugst!$R$4:$W$4,0))))</f>
        <v>4775.8733809952455</v>
      </c>
      <c r="R81">
        <f ca="1">IF($C81-R$1&lt;År1,0,Q80*(1-VLOOKUP($A81,[1]Hugst!$R$5:$W$9,MATCH(ROUNDUP((R$1)/10,0)*10,[1]Hugst!$R$4:$W$4,0))))</f>
        <v>4772.8117243988245</v>
      </c>
      <c r="S81">
        <f ca="1">IF($C81-S$1&lt;År1,0,R80*(1-VLOOKUP($A81,[1]Hugst!$R$5:$W$9,MATCH(ROUNDUP((S$1)/10,0)*10,[1]Hugst!$R$4:$W$4,0))))</f>
        <v>4769.7694870003525</v>
      </c>
      <c r="T81">
        <f ca="1">IF($C81-T$1&lt;År1,0,S80*(1-VLOOKUP($A81,[1]Hugst!$R$5:$W$9,MATCH(ROUNDUP((T$1)/10,0)*10,[1]Hugst!$R$4:$W$4,0))))</f>
        <v>4766.7466906809204</v>
      </c>
      <c r="U81">
        <f ca="1">IF($C81-U$1&lt;År1,0,T80*(1-VLOOKUP($A81,[1]Hugst!$R$5:$W$9,MATCH(ROUNDUP((U$1)/10,0)*10,[1]Hugst!$R$4:$W$4,0))))</f>
        <v>4763.743357468109</v>
      </c>
      <c r="V81">
        <f ca="1">IF($C81-V$1&lt;År1,0,U80*(1-VLOOKUP($A81,[1]Hugst!$R$5:$W$9,MATCH(ROUNDUP((V$1)/10,0)*10,[1]Hugst!$R$4:$W$4,0))))</f>
        <v>4760.7595095363395</v>
      </c>
      <c r="W81">
        <f ca="1">IF($C81-W$1&lt;År1,0,V80*(1-VLOOKUP($A81,[1]Hugst!$R$5:$W$9,MATCH(ROUNDUP((W$1)/10,0)*10,[1]Hugst!$R$4:$W$4,0))))</f>
        <v>4757.7951692074275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795.05856085633968</v>
      </c>
      <c r="E82">
        <f t="shared" ca="1" si="1"/>
        <v>65.484165690504597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3030.9130969172152</v>
      </c>
      <c r="G82">
        <f ca="1">IF($C82-G$1&lt;År1,0,F81*(1-VLOOKUP($A82,[1]Hugst!$R$5:$W$9,MATCH(ROUNDUP((G$1)/10,0)*10,[1]Hugst!$R$4:$W$4,0))))</f>
        <v>3027.7026053655304</v>
      </c>
      <c r="H82">
        <f ca="1">IF($C82-H$1&lt;År1,0,G81*(1-VLOOKUP($A82,[1]Hugst!$R$5:$W$9,MATCH(ROUNDUP((H$1)/10,0)*10,[1]Hugst!$R$4:$W$4,0))))</f>
        <v>3024.4947643700584</v>
      </c>
      <c r="I82">
        <f ca="1">IF($C82-I$1&lt;År1,0,H81*(1-VLOOKUP($A82,[1]Hugst!$R$5:$W$9,MATCH(ROUNDUP((I$1)/10,0)*10,[1]Hugst!$R$4:$W$4,0))))</f>
        <v>3021.2896159470042</v>
      </c>
      <c r="J82">
        <f ca="1">IF($C82-J$1&lt;År1,0,I81*(1-VLOOKUP($A82,[1]Hugst!$R$5:$W$9,MATCH(ROUNDUP((J$1)/10,0)*10,[1]Hugst!$R$4:$W$4,0))))</f>
        <v>3018.0872023675552</v>
      </c>
      <c r="K82">
        <f ca="1">IF($C82-K$1&lt;År1,0,J81*(1-VLOOKUP($A82,[1]Hugst!$R$5:$W$9,MATCH(ROUNDUP((K$1)/10,0)*10,[1]Hugst!$R$4:$W$4,0))))</f>
        <v>3014.887566159236</v>
      </c>
      <c r="L82">
        <f ca="1">IF($C82-L$1&lt;År1,0,K81*(1-VLOOKUP($A82,[1]Hugst!$R$5:$W$9,MATCH(ROUNDUP((L$1)/10,0)*10,[1]Hugst!$R$4:$W$4,0))))</f>
        <v>3011.6907501073206</v>
      </c>
      <c r="M82">
        <f ca="1">IF($C82-M$1&lt;År1,0,L81*(1-VLOOKUP($A82,[1]Hugst!$R$5:$W$9,MATCH(ROUNDUP((M$1)/10,0)*10,[1]Hugst!$R$4:$W$4,0))))</f>
        <v>3008.496797255943</v>
      </c>
      <c r="N82">
        <f ca="1">IF($C82-N$1&lt;År1,0,M81*(1-VLOOKUP($A82,[1]Hugst!$R$5:$W$9,MATCH(ROUNDUP((N$1)/10,0)*10,[1]Hugst!$R$4:$W$4,0))))</f>
        <v>4781.0633266674995</v>
      </c>
      <c r="O82">
        <f ca="1">IF($C82-O$1&lt;År1,0,N81*(1-VLOOKUP($A82,[1]Hugst!$R$5:$W$9,MATCH(ROUNDUP((O$1)/10,0)*10,[1]Hugst!$R$4:$W$4,0))))</f>
        <v>4777.8752303931324</v>
      </c>
      <c r="P82">
        <f ca="1">IF($C82-P$1&lt;År1,0,O81*(1-VLOOKUP($A82,[1]Hugst!$R$5:$W$9,MATCH(ROUNDUP((P$1)/10,0)*10,[1]Hugst!$R$4:$W$4,0))))</f>
        <v>4774.7602050239275</v>
      </c>
      <c r="Q82">
        <f ca="1">IF($C82-Q$1&lt;År1,0,P81*(1-VLOOKUP($A82,[1]Hugst!$R$5:$W$9,MATCH(ROUNDUP((Q$1)/10,0)*10,[1]Hugst!$R$4:$W$4,0))))</f>
        <v>4771.66450456043</v>
      </c>
      <c r="R82">
        <f ca="1">IF($C82-R$1&lt;År1,0,Q81*(1-VLOOKUP($A82,[1]Hugst!$R$5:$W$9,MATCH(ROUNDUP((R$1)/10,0)*10,[1]Hugst!$R$4:$W$4,0))))</f>
        <v>4768.5881504140661</v>
      </c>
      <c r="S82">
        <f ca="1">IF($C82-S$1&lt;År1,0,R81*(1-VLOOKUP($A82,[1]Hugst!$R$5:$W$9,MATCH(ROUNDUP((S$1)/10,0)*10,[1]Hugst!$R$4:$W$4,0))))</f>
        <v>4765.5311641412673</v>
      </c>
      <c r="T82">
        <f ca="1">IF($C82-T$1&lt;År1,0,S81*(1-VLOOKUP($A82,[1]Hugst!$R$5:$W$9,MATCH(ROUNDUP((T$1)/10,0)*10,[1]Hugst!$R$4:$W$4,0))))</f>
        <v>4762.4935674439112</v>
      </c>
      <c r="U82">
        <f ca="1">IF($C82-U$1&lt;År1,0,T81*(1-VLOOKUP($A82,[1]Hugst!$R$5:$W$9,MATCH(ROUNDUP((U$1)/10,0)*10,[1]Hugst!$R$4:$W$4,0))))</f>
        <v>4759.4753821697122</v>
      </c>
      <c r="V82">
        <f ca="1">IF($C82-V$1&lt;År1,0,U81*(1-VLOOKUP($A82,[1]Hugst!$R$5:$W$9,MATCH(ROUNDUP((V$1)/10,0)*10,[1]Hugst!$R$4:$W$4,0))))</f>
        <v>4756.4766303126489</v>
      </c>
      <c r="W82">
        <f ca="1">IF($C82-W$1&lt;År1,0,V81*(1-VLOOKUP($A82,[1]Hugst!$R$5:$W$9,MATCH(ROUNDUP((W$1)/10,0)*10,[1]Hugst!$R$4:$W$4,0))))</f>
        <v>4753.4973340133174</v>
      </c>
      <c r="X82">
        <f ca="1">IF($C82-X$1&lt;År1,0,W81*(1-VLOOKUP($A82,[1]Hugst!$R$5:$W$9,MATCH(ROUNDUP((X$1)/10,0)*10,[1]Hugst!$R$4:$W$4,0))))</f>
        <v>4750.5375155594838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791.0832680520125</v>
      </c>
      <c r="E83">
        <f t="shared" ca="1" si="1"/>
        <v>72.672558840044076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3034.1261972624275</v>
      </c>
      <c r="G83">
        <f ca="1">IF($C83-G$1&lt;År1,0,F82*(1-VLOOKUP($A83,[1]Hugst!$R$5:$W$9,MATCH(ROUNDUP((G$1)/10,0)*10,[1]Hugst!$R$4:$W$4,0))))</f>
        <v>3030.9130969172152</v>
      </c>
      <c r="H83">
        <f ca="1">IF($C83-H$1&lt;År1,0,G82*(1-VLOOKUP($A83,[1]Hugst!$R$5:$W$9,MATCH(ROUNDUP((H$1)/10,0)*10,[1]Hugst!$R$4:$W$4,0))))</f>
        <v>3027.7026053655304</v>
      </c>
      <c r="I83">
        <f ca="1">IF($C83-I$1&lt;År1,0,H82*(1-VLOOKUP($A83,[1]Hugst!$R$5:$W$9,MATCH(ROUNDUP((I$1)/10,0)*10,[1]Hugst!$R$4:$W$4,0))))</f>
        <v>3024.4947643700584</v>
      </c>
      <c r="J83">
        <f ca="1">IF($C83-J$1&lt;År1,0,I82*(1-VLOOKUP($A83,[1]Hugst!$R$5:$W$9,MATCH(ROUNDUP((J$1)/10,0)*10,[1]Hugst!$R$4:$W$4,0))))</f>
        <v>3021.2896159470042</v>
      </c>
      <c r="K83">
        <f ca="1">IF($C83-K$1&lt;År1,0,J82*(1-VLOOKUP($A83,[1]Hugst!$R$5:$W$9,MATCH(ROUNDUP((K$1)/10,0)*10,[1]Hugst!$R$4:$W$4,0))))</f>
        <v>3018.0872023675552</v>
      </c>
      <c r="L83">
        <f ca="1">IF($C83-L$1&lt;År1,0,K82*(1-VLOOKUP($A83,[1]Hugst!$R$5:$W$9,MATCH(ROUNDUP((L$1)/10,0)*10,[1]Hugst!$R$4:$W$4,0))))</f>
        <v>3014.887566159236</v>
      </c>
      <c r="M83">
        <f ca="1">IF($C83-M$1&lt;År1,0,L82*(1-VLOOKUP($A83,[1]Hugst!$R$5:$W$9,MATCH(ROUNDUP((M$1)/10,0)*10,[1]Hugst!$R$4:$W$4,0))))</f>
        <v>3011.6907501073206</v>
      </c>
      <c r="N83">
        <f ca="1">IF($C83-N$1&lt;År1,0,M82*(1-VLOOKUP($A83,[1]Hugst!$R$5:$W$9,MATCH(ROUNDUP((N$1)/10,0)*10,[1]Hugst!$R$4:$W$4,0))))</f>
        <v>3008.496797255943</v>
      </c>
      <c r="O83">
        <f ca="1">IF($C83-O$1&lt;År1,0,N82*(1-VLOOKUP($A83,[1]Hugst!$R$5:$W$9,MATCH(ROUNDUP((O$1)/10,0)*10,[1]Hugst!$R$4:$W$4,0))))</f>
        <v>4781.0633266674995</v>
      </c>
      <c r="P83">
        <f ca="1">IF($C83-P$1&lt;År1,0,O82*(1-VLOOKUP($A83,[1]Hugst!$R$5:$W$9,MATCH(ROUNDUP((P$1)/10,0)*10,[1]Hugst!$R$4:$W$4,0))))</f>
        <v>4770.5869461433804</v>
      </c>
      <c r="Q83">
        <f ca="1">IF($C83-Q$1&lt;År1,0,P82*(1-VLOOKUP($A83,[1]Hugst!$R$5:$W$9,MATCH(ROUNDUP((Q$1)/10,0)*10,[1]Hugst!$R$4:$W$4,0))))</f>
        <v>4767.4766725077889</v>
      </c>
      <c r="R83">
        <f ca="1">IF($C83-R$1&lt;År1,0,Q82*(1-VLOOKUP($A83,[1]Hugst!$R$5:$W$9,MATCH(ROUNDUP((R$1)/10,0)*10,[1]Hugst!$R$4:$W$4,0))))</f>
        <v>4764.3856942992361</v>
      </c>
      <c r="S83">
        <f ca="1">IF($C83-S$1&lt;År1,0,R82*(1-VLOOKUP($A83,[1]Hugst!$R$5:$W$9,MATCH(ROUNDUP((S$1)/10,0)*10,[1]Hugst!$R$4:$W$4,0))))</f>
        <v>4761.3140328964855</v>
      </c>
      <c r="T83">
        <f ca="1">IF($C83-T$1&lt;År1,0,S82*(1-VLOOKUP($A83,[1]Hugst!$R$5:$W$9,MATCH(ROUNDUP((T$1)/10,0)*10,[1]Hugst!$R$4:$W$4,0))))</f>
        <v>4758.2617098230858</v>
      </c>
      <c r="U83">
        <f ca="1">IF($C83-U$1&lt;År1,0,T82*(1-VLOOKUP($A83,[1]Hugst!$R$5:$W$9,MATCH(ROUNDUP((U$1)/10,0)*10,[1]Hugst!$R$4:$W$4,0))))</f>
        <v>4755.22874674781</v>
      </c>
      <c r="V83">
        <f ca="1">IF($C83-V$1&lt;År1,0,U82*(1-VLOOKUP($A83,[1]Hugst!$R$5:$W$9,MATCH(ROUNDUP((V$1)/10,0)*10,[1]Hugst!$R$4:$W$4,0))))</f>
        <v>4752.2151654850468</v>
      </c>
      <c r="W83">
        <f ca="1">IF($C83-W$1&lt;År1,0,V82*(1-VLOOKUP($A83,[1]Hugst!$R$5:$W$9,MATCH(ROUNDUP((W$1)/10,0)*10,[1]Hugst!$R$4:$W$4,0))))</f>
        <v>4749.2209879952225</v>
      </c>
      <c r="X83">
        <f ca="1">IF($C83-X$1&lt;År1,0,W82*(1-VLOOKUP($A83,[1]Hugst!$R$5:$W$9,MATCH(ROUNDUP((X$1)/10,0)*10,[1]Hugst!$R$4:$W$4,0))))</f>
        <v>4746.246236385161</v>
      </c>
      <c r="Y83">
        <f ca="1">IF($C83-Y$1&lt;År1,0,X82*(1-VLOOKUP($A83,[1]Hugst!$R$5:$W$9,MATCH(ROUNDUP((Y$1)/10,0)*10,[1]Hugst!$R$4:$W$4,0))))</f>
        <v>4743.2909329086306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787.12785171177165</v>
      </c>
      <c r="E84">
        <f t="shared" ca="1" si="1"/>
        <v>80.859784361484344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3038.3580064436269</v>
      </c>
      <c r="G84">
        <f ca="1">IF($C84-G$1&lt;År1,0,F83*(1-VLOOKUP($A84,[1]Hugst!$R$5:$W$9,MATCH(ROUNDUP((G$1)/10,0)*10,[1]Hugst!$R$4:$W$4,0))))</f>
        <v>3034.1261972624275</v>
      </c>
      <c r="H84">
        <f ca="1">IF($C84-H$1&lt;År1,0,G83*(1-VLOOKUP($A84,[1]Hugst!$R$5:$W$9,MATCH(ROUNDUP((H$1)/10,0)*10,[1]Hugst!$R$4:$W$4,0))))</f>
        <v>3030.9130969172152</v>
      </c>
      <c r="I84">
        <f ca="1">IF($C84-I$1&lt;År1,0,H83*(1-VLOOKUP($A84,[1]Hugst!$R$5:$W$9,MATCH(ROUNDUP((I$1)/10,0)*10,[1]Hugst!$R$4:$W$4,0))))</f>
        <v>3027.7026053655304</v>
      </c>
      <c r="J84">
        <f ca="1">IF($C84-J$1&lt;År1,0,I83*(1-VLOOKUP($A84,[1]Hugst!$R$5:$W$9,MATCH(ROUNDUP((J$1)/10,0)*10,[1]Hugst!$R$4:$W$4,0))))</f>
        <v>3024.4947643700584</v>
      </c>
      <c r="K84">
        <f ca="1">IF($C84-K$1&lt;År1,0,J83*(1-VLOOKUP($A84,[1]Hugst!$R$5:$W$9,MATCH(ROUNDUP((K$1)/10,0)*10,[1]Hugst!$R$4:$W$4,0))))</f>
        <v>3021.2896159470042</v>
      </c>
      <c r="L84">
        <f ca="1">IF($C84-L$1&lt;År1,0,K83*(1-VLOOKUP($A84,[1]Hugst!$R$5:$W$9,MATCH(ROUNDUP((L$1)/10,0)*10,[1]Hugst!$R$4:$W$4,0))))</f>
        <v>3018.0872023675552</v>
      </c>
      <c r="M84">
        <f ca="1">IF($C84-M$1&lt;År1,0,L83*(1-VLOOKUP($A84,[1]Hugst!$R$5:$W$9,MATCH(ROUNDUP((M$1)/10,0)*10,[1]Hugst!$R$4:$W$4,0))))</f>
        <v>3014.887566159236</v>
      </c>
      <c r="N84">
        <f ca="1">IF($C84-N$1&lt;År1,0,M83*(1-VLOOKUP($A84,[1]Hugst!$R$5:$W$9,MATCH(ROUNDUP((N$1)/10,0)*10,[1]Hugst!$R$4:$W$4,0))))</f>
        <v>3011.6907501073206</v>
      </c>
      <c r="O84">
        <f ca="1">IF($C84-O$1&lt;År1,0,N83*(1-VLOOKUP($A84,[1]Hugst!$R$5:$W$9,MATCH(ROUNDUP((O$1)/10,0)*10,[1]Hugst!$R$4:$W$4,0))))</f>
        <v>3008.496797255943</v>
      </c>
      <c r="P84">
        <f ca="1">IF($C84-P$1&lt;År1,0,O83*(1-VLOOKUP($A84,[1]Hugst!$R$5:$W$9,MATCH(ROUNDUP((P$1)/10,0)*10,[1]Hugst!$R$4:$W$4,0))))</f>
        <v>4773.7701792200405</v>
      </c>
      <c r="Q84">
        <f ca="1">IF($C84-Q$1&lt;År1,0,P83*(1-VLOOKUP($A84,[1]Hugst!$R$5:$W$9,MATCH(ROUNDUP((Q$1)/10,0)*10,[1]Hugst!$R$4:$W$4,0))))</f>
        <v>4763.3097796153652</v>
      </c>
      <c r="R84">
        <f ca="1">IF($C84-R$1&lt;År1,0,Q83*(1-VLOOKUP($A84,[1]Hugst!$R$5:$W$9,MATCH(ROUNDUP((R$1)/10,0)*10,[1]Hugst!$R$4:$W$4,0))))</f>
        <v>4760.2042504649799</v>
      </c>
      <c r="S84">
        <f ca="1">IF($C84-S$1&lt;År1,0,R83*(1-VLOOKUP($A84,[1]Hugst!$R$5:$W$9,MATCH(ROUNDUP((S$1)/10,0)*10,[1]Hugst!$R$4:$W$4,0))))</f>
        <v>4757.1179873079318</v>
      </c>
      <c r="T84">
        <f ca="1">IF($C84-T$1&lt;År1,0,S83*(1-VLOOKUP($A84,[1]Hugst!$R$5:$W$9,MATCH(ROUNDUP((T$1)/10,0)*10,[1]Hugst!$R$4:$W$4,0))))</f>
        <v>4754.0510114903718</v>
      </c>
      <c r="U84">
        <f ca="1">IF($C84-U$1&lt;År1,0,T83*(1-VLOOKUP($A84,[1]Hugst!$R$5:$W$9,MATCH(ROUNDUP((U$1)/10,0)*10,[1]Hugst!$R$4:$W$4,0))))</f>
        <v>4751.0033445030167</v>
      </c>
      <c r="V84">
        <f ca="1">IF($C84-V$1&lt;År1,0,U83*(1-VLOOKUP($A84,[1]Hugst!$R$5:$W$9,MATCH(ROUNDUP((V$1)/10,0)*10,[1]Hugst!$R$4:$W$4,0))))</f>
        <v>4747.975007981584</v>
      </c>
      <c r="W84">
        <f ca="1">IF($C84-W$1&lt;År1,0,V83*(1-VLOOKUP($A84,[1]Hugst!$R$5:$W$9,MATCH(ROUNDUP((W$1)/10,0)*10,[1]Hugst!$R$4:$W$4,0))))</f>
        <v>4744.9660237071885</v>
      </c>
      <c r="X84">
        <f ca="1">IF($C84-X$1&lt;År1,0,W83*(1-VLOOKUP($A84,[1]Hugst!$R$5:$W$9,MATCH(ROUNDUP((X$1)/10,0)*10,[1]Hugst!$R$4:$W$4,0))))</f>
        <v>4741.9764136067552</v>
      </c>
      <c r="Y84">
        <f ca="1">IF($C84-Y$1&lt;År1,0,X83*(1-VLOOKUP($A84,[1]Hugst!$R$5:$W$9,MATCH(ROUNDUP((Y$1)/10,0)*10,[1]Hugst!$R$4:$W$4,0))))</f>
        <v>4739.0061997533867</v>
      </c>
      <c r="Z84">
        <f ca="1">IF($C84-Z$1&lt;År1,0,Y83*(1-VLOOKUP($A84,[1]Hugst!$R$5:$W$9,MATCH(ROUNDUP((Z$1)/10,0)*10,[1]Hugst!$R$4:$W$4,0))))</f>
        <v>4735.0504698472214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783.19221245322842</v>
      </c>
      <c r="E85">
        <f t="shared" ca="1" si="1"/>
        <v>86.327952206760528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3039.8905350303598</v>
      </c>
      <c r="G85">
        <f ca="1">IF($C85-G$1&lt;År1,0,F84*(1-VLOOKUP($A85,[1]Hugst!$R$5:$W$9,MATCH(ROUNDUP((G$1)/10,0)*10,[1]Hugst!$R$4:$W$4,0))))</f>
        <v>3038.3580064436269</v>
      </c>
      <c r="H85">
        <f ca="1">IF($C85-H$1&lt;År1,0,G84*(1-VLOOKUP($A85,[1]Hugst!$R$5:$W$9,MATCH(ROUNDUP((H$1)/10,0)*10,[1]Hugst!$R$4:$W$4,0))))</f>
        <v>3034.1261972624275</v>
      </c>
      <c r="I85">
        <f ca="1">IF($C85-I$1&lt;År1,0,H84*(1-VLOOKUP($A85,[1]Hugst!$R$5:$W$9,MATCH(ROUNDUP((I$1)/10,0)*10,[1]Hugst!$R$4:$W$4,0))))</f>
        <v>3030.9130969172152</v>
      </c>
      <c r="J85">
        <f ca="1">IF($C85-J$1&lt;År1,0,I84*(1-VLOOKUP($A85,[1]Hugst!$R$5:$W$9,MATCH(ROUNDUP((J$1)/10,0)*10,[1]Hugst!$R$4:$W$4,0))))</f>
        <v>3027.7026053655304</v>
      </c>
      <c r="K85">
        <f ca="1">IF($C85-K$1&lt;År1,0,J84*(1-VLOOKUP($A85,[1]Hugst!$R$5:$W$9,MATCH(ROUNDUP((K$1)/10,0)*10,[1]Hugst!$R$4:$W$4,0))))</f>
        <v>3024.4947643700584</v>
      </c>
      <c r="L85">
        <f ca="1">IF($C85-L$1&lt;År1,0,K84*(1-VLOOKUP($A85,[1]Hugst!$R$5:$W$9,MATCH(ROUNDUP((L$1)/10,0)*10,[1]Hugst!$R$4:$W$4,0))))</f>
        <v>3021.2896159470042</v>
      </c>
      <c r="M85">
        <f ca="1">IF($C85-M$1&lt;År1,0,L84*(1-VLOOKUP($A85,[1]Hugst!$R$5:$W$9,MATCH(ROUNDUP((M$1)/10,0)*10,[1]Hugst!$R$4:$W$4,0))))</f>
        <v>3018.0872023675552</v>
      </c>
      <c r="N85">
        <f ca="1">IF($C85-N$1&lt;År1,0,M84*(1-VLOOKUP($A85,[1]Hugst!$R$5:$W$9,MATCH(ROUNDUP((N$1)/10,0)*10,[1]Hugst!$R$4:$W$4,0))))</f>
        <v>3014.887566159236</v>
      </c>
      <c r="O85">
        <f ca="1">IF($C85-O$1&lt;År1,0,N84*(1-VLOOKUP($A85,[1]Hugst!$R$5:$W$9,MATCH(ROUNDUP((O$1)/10,0)*10,[1]Hugst!$R$4:$W$4,0))))</f>
        <v>3011.6907501073206</v>
      </c>
      <c r="P85">
        <f ca="1">IF($C85-P$1&lt;År1,0,O84*(1-VLOOKUP($A85,[1]Hugst!$R$5:$W$9,MATCH(ROUNDUP((P$1)/10,0)*10,[1]Hugst!$R$4:$W$4,0))))</f>
        <v>3003.907564853349</v>
      </c>
      <c r="Q85">
        <f ca="1">IF($C85-Q$1&lt;År1,0,P84*(1-VLOOKUP($A85,[1]Hugst!$R$5:$W$9,MATCH(ROUNDUP((Q$1)/10,0)*10,[1]Hugst!$R$4:$W$4,0))))</f>
        <v>4766.4881569127556</v>
      </c>
      <c r="R85">
        <f ca="1">IF($C85-R$1&lt;År1,0,Q84*(1-VLOOKUP($A85,[1]Hugst!$R$5:$W$9,MATCH(ROUNDUP((R$1)/10,0)*10,[1]Hugst!$R$4:$W$4,0))))</f>
        <v>4756.0437138498501</v>
      </c>
      <c r="S85">
        <f ca="1">IF($C85-S$1&lt;År1,0,R84*(1-VLOOKUP($A85,[1]Hugst!$R$5:$W$9,MATCH(ROUNDUP((S$1)/10,0)*10,[1]Hugst!$R$4:$W$4,0))))</f>
        <v>4752.9429219473213</v>
      </c>
      <c r="T85">
        <f ca="1">IF($C85-T$1&lt;År1,0,S84*(1-VLOOKUP($A85,[1]Hugst!$R$5:$W$9,MATCH(ROUNDUP((T$1)/10,0)*10,[1]Hugst!$R$4:$W$4,0))))</f>
        <v>4749.8613666493266</v>
      </c>
      <c r="U85">
        <f ca="1">IF($C85-U$1&lt;År1,0,T84*(1-VLOOKUP($A85,[1]Hugst!$R$5:$W$9,MATCH(ROUNDUP((U$1)/10,0)*10,[1]Hugst!$R$4:$W$4,0))))</f>
        <v>4746.7990692694539</v>
      </c>
      <c r="V85">
        <f ca="1">IF($C85-V$1&lt;År1,0,U84*(1-VLOOKUP($A85,[1]Hugst!$R$5:$W$9,MATCH(ROUNDUP((V$1)/10,0)*10,[1]Hugst!$R$4:$W$4,0))))</f>
        <v>4743.7560512656391</v>
      </c>
      <c r="W85">
        <f ca="1">IF($C85-W$1&lt;År1,0,V84*(1-VLOOKUP($A85,[1]Hugst!$R$5:$W$9,MATCH(ROUNDUP((W$1)/10,0)*10,[1]Hugst!$R$4:$W$4,0))))</f>
        <v>4740.7323342405953</v>
      </c>
      <c r="X85">
        <f ca="1">IF($C85-X$1&lt;År1,0,W84*(1-VLOOKUP($A85,[1]Hugst!$R$5:$W$9,MATCH(ROUNDUP((X$1)/10,0)*10,[1]Hugst!$R$4:$W$4,0))))</f>
        <v>4737.7279399422114</v>
      </c>
      <c r="Y85">
        <f ca="1">IF($C85-Y$1&lt;År1,0,X84*(1-VLOOKUP($A85,[1]Hugst!$R$5:$W$9,MATCH(ROUNDUP((Y$1)/10,0)*10,[1]Hugst!$R$4:$W$4,0))))</f>
        <v>4734.7428902639649</v>
      </c>
      <c r="Z85">
        <f ca="1">IF($C85-Z$1&lt;År1,0,Y84*(1-VLOOKUP($A85,[1]Hugst!$R$5:$W$9,MATCH(ROUNDUP((Z$1)/10,0)*10,[1]Hugst!$R$4:$W$4,0))))</f>
        <v>4730.7731805080521</v>
      </c>
      <c r="AA85">
        <f ca="1">IF($C85-AA$1&lt;År1,0,Z84*(1-VLOOKUP($A85,[1]Hugst!$R$5:$W$9,MATCH(ROUNDUP((AA$1)/10,0)*10,[1]Hugst!$R$4:$W$4,0))))</f>
        <v>4726.8243228445208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779.27625139095107</v>
      </c>
      <c r="E86">
        <f t="shared" ca="1" si="1"/>
        <v>91.790006416267715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3041.4366281775897</v>
      </c>
      <c r="G86">
        <f ca="1">IF($C86-G$1&lt;År1,0,F85*(1-VLOOKUP($A86,[1]Hugst!$R$5:$W$9,MATCH(ROUNDUP((G$1)/10,0)*10,[1]Hugst!$R$4:$W$4,0))))</f>
        <v>3039.8905350303598</v>
      </c>
      <c r="H86">
        <f ca="1">IF($C86-H$1&lt;År1,0,G85*(1-VLOOKUP($A86,[1]Hugst!$R$5:$W$9,MATCH(ROUNDUP((H$1)/10,0)*10,[1]Hugst!$R$4:$W$4,0))))</f>
        <v>3038.3580064436269</v>
      </c>
      <c r="I86">
        <f ca="1">IF($C86-I$1&lt;År1,0,H85*(1-VLOOKUP($A86,[1]Hugst!$R$5:$W$9,MATCH(ROUNDUP((I$1)/10,0)*10,[1]Hugst!$R$4:$W$4,0))))</f>
        <v>3034.1261972624275</v>
      </c>
      <c r="J86">
        <f ca="1">IF($C86-J$1&lt;År1,0,I85*(1-VLOOKUP($A86,[1]Hugst!$R$5:$W$9,MATCH(ROUNDUP((J$1)/10,0)*10,[1]Hugst!$R$4:$W$4,0))))</f>
        <v>3030.9130969172152</v>
      </c>
      <c r="K86">
        <f ca="1">IF($C86-K$1&lt;År1,0,J85*(1-VLOOKUP($A86,[1]Hugst!$R$5:$W$9,MATCH(ROUNDUP((K$1)/10,0)*10,[1]Hugst!$R$4:$W$4,0))))</f>
        <v>3027.7026053655304</v>
      </c>
      <c r="L86">
        <f ca="1">IF($C86-L$1&lt;År1,0,K85*(1-VLOOKUP($A86,[1]Hugst!$R$5:$W$9,MATCH(ROUNDUP((L$1)/10,0)*10,[1]Hugst!$R$4:$W$4,0))))</f>
        <v>3024.4947643700584</v>
      </c>
      <c r="M86">
        <f ca="1">IF($C86-M$1&lt;År1,0,L85*(1-VLOOKUP($A86,[1]Hugst!$R$5:$W$9,MATCH(ROUNDUP((M$1)/10,0)*10,[1]Hugst!$R$4:$W$4,0))))</f>
        <v>3021.2896159470042</v>
      </c>
      <c r="N86">
        <f ca="1">IF($C86-N$1&lt;År1,0,M85*(1-VLOOKUP($A86,[1]Hugst!$R$5:$W$9,MATCH(ROUNDUP((N$1)/10,0)*10,[1]Hugst!$R$4:$W$4,0))))</f>
        <v>3018.0872023675552</v>
      </c>
      <c r="O86">
        <f ca="1">IF($C86-O$1&lt;År1,0,N85*(1-VLOOKUP($A86,[1]Hugst!$R$5:$W$9,MATCH(ROUNDUP((O$1)/10,0)*10,[1]Hugst!$R$4:$W$4,0))))</f>
        <v>3014.887566159236</v>
      </c>
      <c r="P86">
        <f ca="1">IF($C86-P$1&lt;År1,0,O85*(1-VLOOKUP($A86,[1]Hugst!$R$5:$W$9,MATCH(ROUNDUP((P$1)/10,0)*10,[1]Hugst!$R$4:$W$4,0))))</f>
        <v>3007.0966455732587</v>
      </c>
      <c r="Q86">
        <f ca="1">IF($C86-Q$1&lt;År1,0,P85*(1-VLOOKUP($A86,[1]Hugst!$R$5:$W$9,MATCH(ROUNDUP((Q$1)/10,0)*10,[1]Hugst!$R$4:$W$4,0))))</f>
        <v>2999.325332974759</v>
      </c>
      <c r="R86">
        <f ca="1">IF($C86-R$1&lt;År1,0,Q85*(1-VLOOKUP($A86,[1]Hugst!$R$5:$W$9,MATCH(ROUNDUP((R$1)/10,0)*10,[1]Hugst!$R$4:$W$4,0))))</f>
        <v>4759.217242775092</v>
      </c>
      <c r="S86">
        <f ca="1">IF($C86-S$1&lt;År1,0,R85*(1-VLOOKUP($A86,[1]Hugst!$R$5:$W$9,MATCH(ROUNDUP((S$1)/10,0)*10,[1]Hugst!$R$4:$W$4,0))))</f>
        <v>4748.7887319134688</v>
      </c>
      <c r="T86">
        <f ca="1">IF($C86-T$1&lt;År1,0,S85*(1-VLOOKUP($A86,[1]Hugst!$R$5:$W$9,MATCH(ROUNDUP((T$1)/10,0)*10,[1]Hugst!$R$4:$W$4,0))))</f>
        <v>4745.6926700324866</v>
      </c>
      <c r="U86">
        <f ca="1">IF($C86-U$1&lt;År1,0,T85*(1-VLOOKUP($A86,[1]Hugst!$R$5:$W$9,MATCH(ROUNDUP((U$1)/10,0)*10,[1]Hugst!$R$4:$W$4,0))))</f>
        <v>4742.6158154120649</v>
      </c>
      <c r="V86">
        <f ca="1">IF($C86-V$1&lt;År1,0,U85*(1-VLOOKUP($A86,[1]Hugst!$R$5:$W$9,MATCH(ROUNDUP((V$1)/10,0)*10,[1]Hugst!$R$4:$W$4,0))))</f>
        <v>4739.5581893332801</v>
      </c>
      <c r="W86">
        <f ca="1">IF($C86-W$1&lt;År1,0,V85*(1-VLOOKUP($A86,[1]Hugst!$R$5:$W$9,MATCH(ROUNDUP((W$1)/10,0)*10,[1]Hugst!$R$4:$W$4,0))))</f>
        <v>4736.5198132213354</v>
      </c>
      <c r="X86">
        <f ca="1">IF($C86-X$1&lt;År1,0,W85*(1-VLOOKUP($A86,[1]Hugst!$R$5:$W$9,MATCH(ROUNDUP((X$1)/10,0)*10,[1]Hugst!$R$4:$W$4,0))))</f>
        <v>4733.5007086459909</v>
      </c>
      <c r="Y86">
        <f ca="1">IF($C86-Y$1&lt;År1,0,X85*(1-VLOOKUP($A86,[1]Hugst!$R$5:$W$9,MATCH(ROUNDUP((Y$1)/10,0)*10,[1]Hugst!$R$4:$W$4,0))))</f>
        <v>4730.5008973219601</v>
      </c>
      <c r="Z86">
        <f ca="1">IF($C86-Z$1&lt;År1,0,Y85*(1-VLOOKUP($A86,[1]Hugst!$R$5:$W$9,MATCH(ROUNDUP((Z$1)/10,0)*10,[1]Hugst!$R$4:$W$4,0))))</f>
        <v>4726.5172776156251</v>
      </c>
      <c r="AA86">
        <f ca="1">IF($C86-AA$1&lt;År1,0,Z85*(1-VLOOKUP($A86,[1]Hugst!$R$5:$W$9,MATCH(ROUNDUP((AA$1)/10,0)*10,[1]Hugst!$R$4:$W$4,0))))</f>
        <v>4722.5544643893727</v>
      </c>
      <c r="AB86">
        <f ca="1">IF($C86-AB$1&lt;År1,0,AA85*(1-VLOOKUP($A86,[1]Hugst!$R$5:$W$9,MATCH(ROUNDUP((AB$1)/10,0)*10,[1]Hugst!$R$4:$W$4,0))))</f>
        <v>4718.6124670294093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775.37987013398742</v>
      </c>
      <c r="E87">
        <f t="shared" ca="1" si="1"/>
        <v>97.245969793992117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3042.9962102983504</v>
      </c>
      <c r="G87">
        <f ca="1">IF($C87-G$1&lt;År1,0,F86*(1-VLOOKUP($A87,[1]Hugst!$R$5:$W$9,MATCH(ROUNDUP((G$1)/10,0)*10,[1]Hugst!$R$4:$W$4,0))))</f>
        <v>3041.4366281775897</v>
      </c>
      <c r="H87">
        <f ca="1">IF($C87-H$1&lt;År1,0,G86*(1-VLOOKUP($A87,[1]Hugst!$R$5:$W$9,MATCH(ROUNDUP((H$1)/10,0)*10,[1]Hugst!$R$4:$W$4,0))))</f>
        <v>3039.8905350303598</v>
      </c>
      <c r="I87">
        <f ca="1">IF($C87-I$1&lt;År1,0,H86*(1-VLOOKUP($A87,[1]Hugst!$R$5:$W$9,MATCH(ROUNDUP((I$1)/10,0)*10,[1]Hugst!$R$4:$W$4,0))))</f>
        <v>3038.3580064436269</v>
      </c>
      <c r="J87">
        <f ca="1">IF($C87-J$1&lt;År1,0,I86*(1-VLOOKUP($A87,[1]Hugst!$R$5:$W$9,MATCH(ROUNDUP((J$1)/10,0)*10,[1]Hugst!$R$4:$W$4,0))))</f>
        <v>3034.1261972624275</v>
      </c>
      <c r="K87">
        <f ca="1">IF($C87-K$1&lt;År1,0,J86*(1-VLOOKUP($A87,[1]Hugst!$R$5:$W$9,MATCH(ROUNDUP((K$1)/10,0)*10,[1]Hugst!$R$4:$W$4,0))))</f>
        <v>3030.9130969172152</v>
      </c>
      <c r="L87">
        <f ca="1">IF($C87-L$1&lt;År1,0,K86*(1-VLOOKUP($A87,[1]Hugst!$R$5:$W$9,MATCH(ROUNDUP((L$1)/10,0)*10,[1]Hugst!$R$4:$W$4,0))))</f>
        <v>3027.7026053655304</v>
      </c>
      <c r="M87">
        <f ca="1">IF($C87-M$1&lt;År1,0,L86*(1-VLOOKUP($A87,[1]Hugst!$R$5:$W$9,MATCH(ROUNDUP((M$1)/10,0)*10,[1]Hugst!$R$4:$W$4,0))))</f>
        <v>3024.4947643700584</v>
      </c>
      <c r="N87">
        <f ca="1">IF($C87-N$1&lt;År1,0,M86*(1-VLOOKUP($A87,[1]Hugst!$R$5:$W$9,MATCH(ROUNDUP((N$1)/10,0)*10,[1]Hugst!$R$4:$W$4,0))))</f>
        <v>3021.2896159470042</v>
      </c>
      <c r="O87">
        <f ca="1">IF($C87-O$1&lt;År1,0,N86*(1-VLOOKUP($A87,[1]Hugst!$R$5:$W$9,MATCH(ROUNDUP((O$1)/10,0)*10,[1]Hugst!$R$4:$W$4,0))))</f>
        <v>3018.0872023675552</v>
      </c>
      <c r="P87">
        <f ca="1">IF($C87-P$1&lt;År1,0,O86*(1-VLOOKUP($A87,[1]Hugst!$R$5:$W$9,MATCH(ROUNDUP((P$1)/10,0)*10,[1]Hugst!$R$4:$W$4,0))))</f>
        <v>3010.2885851261117</v>
      </c>
      <c r="Q87">
        <f ca="1">IF($C87-Q$1&lt;År1,0,P86*(1-VLOOKUP($A87,[1]Hugst!$R$5:$W$9,MATCH(ROUNDUP((Q$1)/10,0)*10,[1]Hugst!$R$4:$W$4,0))))</f>
        <v>3002.5095489952655</v>
      </c>
      <c r="R87">
        <f ca="1">IF($C87-R$1&lt;År1,0,Q86*(1-VLOOKUP($A87,[1]Hugst!$R$5:$W$9,MATCH(ROUNDUP((R$1)/10,0)*10,[1]Hugst!$R$4:$W$4,0))))</f>
        <v>2994.7500909414075</v>
      </c>
      <c r="S87">
        <f ca="1">IF($C87-S$1&lt;År1,0,R86*(1-VLOOKUP($A87,[1]Hugst!$R$5:$W$9,MATCH(ROUNDUP((S$1)/10,0)*10,[1]Hugst!$R$4:$W$4,0))))</f>
        <v>4751.9574198623841</v>
      </c>
      <c r="T87">
        <f ca="1">IF($C87-T$1&lt;År1,0,S86*(1-VLOOKUP($A87,[1]Hugst!$R$5:$W$9,MATCH(ROUNDUP((T$1)/10,0)*10,[1]Hugst!$R$4:$W$4,0))))</f>
        <v>4741.544816898685</v>
      </c>
      <c r="U87">
        <f ca="1">IF($C87-U$1&lt;År1,0,T86*(1-VLOOKUP($A87,[1]Hugst!$R$5:$W$9,MATCH(ROUNDUP((U$1)/10,0)*10,[1]Hugst!$R$4:$W$4,0))))</f>
        <v>4738.4534778239622</v>
      </c>
      <c r="V87">
        <f ca="1">IF($C87-V$1&lt;År1,0,U86*(1-VLOOKUP($A87,[1]Hugst!$R$5:$W$9,MATCH(ROUNDUP((V$1)/10,0)*10,[1]Hugst!$R$4:$W$4,0))))</f>
        <v>4735.3813167105891</v>
      </c>
      <c r="W87">
        <f ca="1">IF($C87-W$1&lt;År1,0,V86*(1-VLOOKUP($A87,[1]Hugst!$R$5:$W$9,MATCH(ROUNDUP((W$1)/10,0)*10,[1]Hugst!$R$4:$W$4,0))))</f>
        <v>4732.3283548071786</v>
      </c>
      <c r="X87">
        <f ca="1">IF($C87-X$1&lt;År1,0,W86*(1-VLOOKUP($A87,[1]Hugst!$R$5:$W$9,MATCH(ROUNDUP((X$1)/10,0)*10,[1]Hugst!$R$4:$W$4,0))))</f>
        <v>4729.2946135062521</v>
      </c>
      <c r="Y87">
        <f ca="1">IF($C87-Y$1&lt;År1,0,X86*(1-VLOOKUP($A87,[1]Hugst!$R$5:$W$9,MATCH(ROUNDUP((Y$1)/10,0)*10,[1]Hugst!$R$4:$W$4,0))))</f>
        <v>4726.2801143446668</v>
      </c>
      <c r="Z87">
        <f ca="1">IF($C87-Z$1&lt;År1,0,Y86*(1-VLOOKUP($A87,[1]Hugst!$R$5:$W$9,MATCH(ROUNDUP((Z$1)/10,0)*10,[1]Hugst!$R$4:$W$4,0))))</f>
        <v>4722.2826542376297</v>
      </c>
      <c r="AA87">
        <f ca="1">IF($C87-AA$1&lt;År1,0,Z86*(1-VLOOKUP($A87,[1]Hugst!$R$5:$W$9,MATCH(ROUNDUP((AA$1)/10,0)*10,[1]Hugst!$R$4:$W$4,0))))</f>
        <v>4718.3059552265468</v>
      </c>
      <c r="AB87">
        <f ca="1">IF($C87-AB$1&lt;År1,0,AA86*(1-VLOOKUP($A87,[1]Hugst!$R$5:$W$9,MATCH(ROUNDUP((AB$1)/10,0)*10,[1]Hugst!$R$4:$W$4,0))))</f>
        <v>4714.3500265486964</v>
      </c>
      <c r="AC87">
        <f ca="1">IF($C87-AC$1&lt;År1,0,AB86*(1-VLOOKUP($A87,[1]Hugst!$R$5:$W$9,MATCH(ROUNDUP((AC$1)/10,0)*10,[1]Hugst!$R$4:$W$4,0))))</f>
        <v>4710.4148775739768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771.50297078332005</v>
      </c>
      <c r="E88">
        <f t="shared" ca="1" si="1"/>
        <v>102.69586500502191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3044.5692061587129</v>
      </c>
      <c r="G88">
        <f ca="1">IF($C88-G$1&lt;År1,0,F87*(1-VLOOKUP($A88,[1]Hugst!$R$5:$W$9,MATCH(ROUNDUP((G$1)/10,0)*10,[1]Hugst!$R$4:$W$4,0))))</f>
        <v>3042.9962102983504</v>
      </c>
      <c r="H88">
        <f ca="1">IF($C88-H$1&lt;År1,0,G87*(1-VLOOKUP($A88,[1]Hugst!$R$5:$W$9,MATCH(ROUNDUP((H$1)/10,0)*10,[1]Hugst!$R$4:$W$4,0))))</f>
        <v>3041.4366281775897</v>
      </c>
      <c r="I88">
        <f ca="1">IF($C88-I$1&lt;År1,0,H87*(1-VLOOKUP($A88,[1]Hugst!$R$5:$W$9,MATCH(ROUNDUP((I$1)/10,0)*10,[1]Hugst!$R$4:$W$4,0))))</f>
        <v>3039.8905350303598</v>
      </c>
      <c r="J88">
        <f ca="1">IF($C88-J$1&lt;År1,0,I87*(1-VLOOKUP($A88,[1]Hugst!$R$5:$W$9,MATCH(ROUNDUP((J$1)/10,0)*10,[1]Hugst!$R$4:$W$4,0))))</f>
        <v>3038.3580064436269</v>
      </c>
      <c r="K88">
        <f ca="1">IF($C88-K$1&lt;År1,0,J87*(1-VLOOKUP($A88,[1]Hugst!$R$5:$W$9,MATCH(ROUNDUP((K$1)/10,0)*10,[1]Hugst!$R$4:$W$4,0))))</f>
        <v>3034.1261972624275</v>
      </c>
      <c r="L88">
        <f ca="1">IF($C88-L$1&lt;År1,0,K87*(1-VLOOKUP($A88,[1]Hugst!$R$5:$W$9,MATCH(ROUNDUP((L$1)/10,0)*10,[1]Hugst!$R$4:$W$4,0))))</f>
        <v>3030.9130969172152</v>
      </c>
      <c r="M88">
        <f ca="1">IF($C88-M$1&lt;År1,0,L87*(1-VLOOKUP($A88,[1]Hugst!$R$5:$W$9,MATCH(ROUNDUP((M$1)/10,0)*10,[1]Hugst!$R$4:$W$4,0))))</f>
        <v>3027.7026053655304</v>
      </c>
      <c r="N88">
        <f ca="1">IF($C88-N$1&lt;År1,0,M87*(1-VLOOKUP($A88,[1]Hugst!$R$5:$W$9,MATCH(ROUNDUP((N$1)/10,0)*10,[1]Hugst!$R$4:$W$4,0))))</f>
        <v>3024.4947643700584</v>
      </c>
      <c r="O88">
        <f ca="1">IF($C88-O$1&lt;År1,0,N87*(1-VLOOKUP($A88,[1]Hugst!$R$5:$W$9,MATCH(ROUNDUP((O$1)/10,0)*10,[1]Hugst!$R$4:$W$4,0))))</f>
        <v>3021.2896159470042</v>
      </c>
      <c r="P88">
        <f ca="1">IF($C88-P$1&lt;År1,0,O87*(1-VLOOKUP($A88,[1]Hugst!$R$5:$W$9,MATCH(ROUNDUP((P$1)/10,0)*10,[1]Hugst!$R$4:$W$4,0))))</f>
        <v>3013.4833405334352</v>
      </c>
      <c r="Q88">
        <f ca="1">IF($C88-Q$1&lt;År1,0,P87*(1-VLOOKUP($A88,[1]Hugst!$R$5:$W$9,MATCH(ROUNDUP((Q$1)/10,0)*10,[1]Hugst!$R$4:$W$4,0))))</f>
        <v>3005.6966194877837</v>
      </c>
      <c r="R88">
        <f ca="1">IF($C88-R$1&lt;År1,0,Q87*(1-VLOOKUP($A88,[1]Hugst!$R$5:$W$9,MATCH(ROUNDUP((R$1)/10,0)*10,[1]Hugst!$R$4:$W$4,0))))</f>
        <v>2997.9294496832385</v>
      </c>
      <c r="S88">
        <f ca="1">IF($C88-S$1&lt;År1,0,R87*(1-VLOOKUP($A88,[1]Hugst!$R$5:$W$9,MATCH(ROUNDUP((S$1)/10,0)*10,[1]Hugst!$R$4:$W$4,0))))</f>
        <v>2990.1818280908187</v>
      </c>
      <c r="T88">
        <f ca="1">IF($C88-T$1&lt;År1,0,S87*(1-VLOOKUP($A88,[1]Hugst!$R$5:$W$9,MATCH(ROUNDUP((T$1)/10,0)*10,[1]Hugst!$R$4:$W$4,0))))</f>
        <v>4744.7086712558139</v>
      </c>
      <c r="U88">
        <f ca="1">IF($C88-U$1&lt;År1,0,T87*(1-VLOOKUP($A88,[1]Hugst!$R$5:$W$9,MATCH(ROUNDUP((U$1)/10,0)*10,[1]Hugst!$R$4:$W$4,0))))</f>
        <v>4734.3119519237543</v>
      </c>
      <c r="V88">
        <f ca="1">IF($C88-V$1&lt;År1,0,U87*(1-VLOOKUP($A88,[1]Hugst!$R$5:$W$9,MATCH(ROUNDUP((V$1)/10,0)*10,[1]Hugst!$R$4:$W$4,0))))</f>
        <v>4731.2253284510107</v>
      </c>
      <c r="W88">
        <f ca="1">IF($C88-W$1&lt;År1,0,V87*(1-VLOOKUP($A88,[1]Hugst!$R$5:$W$9,MATCH(ROUNDUP((W$1)/10,0)*10,[1]Hugst!$R$4:$W$4,0))))</f>
        <v>4728.1578536850984</v>
      </c>
      <c r="X88">
        <f ca="1">IF($C88-X$1&lt;År1,0,W87*(1-VLOOKUP($A88,[1]Hugst!$R$5:$W$9,MATCH(ROUNDUP((X$1)/10,0)*10,[1]Hugst!$R$4:$W$4,0))))</f>
        <v>4725.1095488422179</v>
      </c>
      <c r="Y88">
        <f ca="1">IF($C88-Y$1&lt;År1,0,X87*(1-VLOOKUP($A88,[1]Hugst!$R$5:$W$9,MATCH(ROUNDUP((Y$1)/10,0)*10,[1]Hugst!$R$4:$W$4,0))))</f>
        <v>4722.0804352822597</v>
      </c>
      <c r="Z88">
        <f ca="1">IF($C88-Z$1&lt;År1,0,Y87*(1-VLOOKUP($A88,[1]Hugst!$R$5:$W$9,MATCH(ROUNDUP((Z$1)/10,0)*10,[1]Hugst!$R$4:$W$4,0))))</f>
        <v>4718.0692039765254</v>
      </c>
      <c r="AA88">
        <f ca="1">IF($C88-AA$1&lt;År1,0,Z87*(1-VLOOKUP($A88,[1]Hugst!$R$5:$W$9,MATCH(ROUNDUP((AA$1)/10,0)*10,[1]Hugst!$R$4:$W$4,0))))</f>
        <v>4714.0786886095048</v>
      </c>
      <c r="AB88">
        <f ca="1">IF($C88-AB$1&lt;År1,0,AA87*(1-VLOOKUP($A88,[1]Hugst!$R$5:$W$9,MATCH(ROUNDUP((AB$1)/10,0)*10,[1]Hugst!$R$4:$W$4,0))))</f>
        <v>4710.1088982704323</v>
      </c>
      <c r="AC88">
        <f ca="1">IF($C88-AC$1&lt;År1,0,AB87*(1-VLOOKUP($A88,[1]Hugst!$R$5:$W$9,MATCH(ROUNDUP((AC$1)/10,0)*10,[1]Hugst!$R$4:$W$4,0))))</f>
        <v>4706.1598421805393</v>
      </c>
      <c r="AD88">
        <f ca="1">IF($C88-AD$1&lt;År1,0,AC87*(1-VLOOKUP($A88,[1]Hugst!$R$5:$W$9,MATCH(ROUNDUP((AD$1)/10,0)*10,[1]Hugst!$R$4:$W$4,0))))</f>
        <v>4702.2315296934457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767.6454559294034</v>
      </c>
      <c r="E89">
        <f t="shared" ca="1" si="1"/>
        <v>108.13971457637672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3046.155540876151</v>
      </c>
      <c r="G89">
        <f ca="1">IF($C89-G$1&lt;År1,0,F88*(1-VLOOKUP($A89,[1]Hugst!$R$5:$W$9,MATCH(ROUNDUP((G$1)/10,0)*10,[1]Hugst!$R$4:$W$4,0))))</f>
        <v>3044.5692061587129</v>
      </c>
      <c r="H89">
        <f ca="1">IF($C89-H$1&lt;År1,0,G88*(1-VLOOKUP($A89,[1]Hugst!$R$5:$W$9,MATCH(ROUNDUP((H$1)/10,0)*10,[1]Hugst!$R$4:$W$4,0))))</f>
        <v>3042.9962102983504</v>
      </c>
      <c r="I89">
        <f ca="1">IF($C89-I$1&lt;År1,0,H88*(1-VLOOKUP($A89,[1]Hugst!$R$5:$W$9,MATCH(ROUNDUP((I$1)/10,0)*10,[1]Hugst!$R$4:$W$4,0))))</f>
        <v>3041.4366281775897</v>
      </c>
      <c r="J89">
        <f ca="1">IF($C89-J$1&lt;År1,0,I88*(1-VLOOKUP($A89,[1]Hugst!$R$5:$W$9,MATCH(ROUNDUP((J$1)/10,0)*10,[1]Hugst!$R$4:$W$4,0))))</f>
        <v>3039.8905350303598</v>
      </c>
      <c r="K89">
        <f ca="1">IF($C89-K$1&lt;År1,0,J88*(1-VLOOKUP($A89,[1]Hugst!$R$5:$W$9,MATCH(ROUNDUP((K$1)/10,0)*10,[1]Hugst!$R$4:$W$4,0))))</f>
        <v>3038.3580064436269</v>
      </c>
      <c r="L89">
        <f ca="1">IF($C89-L$1&lt;År1,0,K88*(1-VLOOKUP($A89,[1]Hugst!$R$5:$W$9,MATCH(ROUNDUP((L$1)/10,0)*10,[1]Hugst!$R$4:$W$4,0))))</f>
        <v>3034.1261972624275</v>
      </c>
      <c r="M89">
        <f ca="1">IF($C89-M$1&lt;År1,0,L88*(1-VLOOKUP($A89,[1]Hugst!$R$5:$W$9,MATCH(ROUNDUP((M$1)/10,0)*10,[1]Hugst!$R$4:$W$4,0))))</f>
        <v>3030.9130969172152</v>
      </c>
      <c r="N89">
        <f ca="1">IF($C89-N$1&lt;År1,0,M88*(1-VLOOKUP($A89,[1]Hugst!$R$5:$W$9,MATCH(ROUNDUP((N$1)/10,0)*10,[1]Hugst!$R$4:$W$4,0))))</f>
        <v>3027.7026053655304</v>
      </c>
      <c r="O89">
        <f ca="1">IF($C89-O$1&lt;År1,0,N88*(1-VLOOKUP($A89,[1]Hugst!$R$5:$W$9,MATCH(ROUNDUP((O$1)/10,0)*10,[1]Hugst!$R$4:$W$4,0))))</f>
        <v>3024.4947643700584</v>
      </c>
      <c r="P89">
        <f ca="1">IF($C89-P$1&lt;År1,0,O88*(1-VLOOKUP($A89,[1]Hugst!$R$5:$W$9,MATCH(ROUNDUP((P$1)/10,0)*10,[1]Hugst!$R$4:$W$4,0))))</f>
        <v>3016.6808690752205</v>
      </c>
      <c r="Q89">
        <f ca="1">IF($C89-Q$1&lt;År1,0,P88*(1-VLOOKUP($A89,[1]Hugst!$R$5:$W$9,MATCH(ROUNDUP((Q$1)/10,0)*10,[1]Hugst!$R$4:$W$4,0))))</f>
        <v>3008.8865015394013</v>
      </c>
      <c r="R89">
        <f ca="1">IF($C89-R$1&lt;År1,0,Q88*(1-VLOOKUP($A89,[1]Hugst!$R$5:$W$9,MATCH(ROUNDUP((R$1)/10,0)*10,[1]Hugst!$R$4:$W$4,0))))</f>
        <v>3001.1116585428022</v>
      </c>
      <c r="S89">
        <f ca="1">IF($C89-S$1&lt;År1,0,R88*(1-VLOOKUP($A89,[1]Hugst!$R$5:$W$9,MATCH(ROUNDUP((S$1)/10,0)*10,[1]Hugst!$R$4:$W$4,0))))</f>
        <v>2993.3563369633825</v>
      </c>
      <c r="T89">
        <f ca="1">IF($C89-T$1&lt;År1,0,S88*(1-VLOOKUP($A89,[1]Hugst!$R$5:$W$9,MATCH(ROUNDUP((T$1)/10,0)*10,[1]Hugst!$R$4:$W$4,0))))</f>
        <v>2985.6205337767819</v>
      </c>
      <c r="U89">
        <f ca="1">IF($C89-U$1&lt;År1,0,T88*(1-VLOOKUP($A89,[1]Hugst!$R$5:$W$9,MATCH(ROUNDUP((U$1)/10,0)*10,[1]Hugst!$R$4:$W$4,0))))</f>
        <v>4737.4709800623723</v>
      </c>
      <c r="V89">
        <f ca="1">IF($C89-V$1&lt;År1,0,U88*(1-VLOOKUP($A89,[1]Hugst!$R$5:$W$9,MATCH(ROUNDUP((V$1)/10,0)*10,[1]Hugst!$R$4:$W$4,0))))</f>
        <v>4727.0901201326842</v>
      </c>
      <c r="W89">
        <f ca="1">IF($C89-W$1&lt;År1,0,V88*(1-VLOOKUP($A89,[1]Hugst!$R$5:$W$9,MATCH(ROUNDUP((W$1)/10,0)*10,[1]Hugst!$R$4:$W$4,0))))</f>
        <v>4724.0082050686278</v>
      </c>
      <c r="X89">
        <f ca="1">IF($C89-X$1&lt;År1,0,W88*(1-VLOOKUP($A89,[1]Hugst!$R$5:$W$9,MATCH(ROUNDUP((X$1)/10,0)*10,[1]Hugst!$R$4:$W$4,0))))</f>
        <v>4720.9454095015108</v>
      </c>
      <c r="Y89">
        <f ca="1">IF($C89-Y$1&lt;År1,0,X88*(1-VLOOKUP($A89,[1]Hugst!$R$5:$W$9,MATCH(ROUNDUP((Y$1)/10,0)*10,[1]Hugst!$R$4:$W$4,0))))</f>
        <v>4717.9017546151699</v>
      </c>
      <c r="Z89">
        <f ca="1">IF($C89-Z$1&lt;År1,0,Y88*(1-VLOOKUP($A89,[1]Hugst!$R$5:$W$9,MATCH(ROUNDUP((Z$1)/10,0)*10,[1]Hugst!$R$4:$W$4,0))))</f>
        <v>4713.8768209667269</v>
      </c>
      <c r="AA89">
        <f ca="1">IF($C89-AA$1&lt;År1,0,Z88*(1-VLOOKUP($A89,[1]Hugst!$R$5:$W$9,MATCH(ROUNDUP((AA$1)/10,0)*10,[1]Hugst!$R$4:$W$4,0))))</f>
        <v>4709.8725583255491</v>
      </c>
      <c r="AB89">
        <f ca="1">IF($C89-AB$1&lt;År1,0,AA88*(1-VLOOKUP($A89,[1]Hugst!$R$5:$W$9,MATCH(ROUNDUP((AB$1)/10,0)*10,[1]Hugst!$R$4:$W$4,0))))</f>
        <v>4705.8889756335302</v>
      </c>
      <c r="AC89">
        <f ca="1">IF($C89-AC$1&lt;År1,0,AB88*(1-VLOOKUP($A89,[1]Hugst!$R$5:$W$9,MATCH(ROUNDUP((AC$1)/10,0)*10,[1]Hugst!$R$4:$W$4,0))))</f>
        <v>4701.9260819641149</v>
      </c>
      <c r="AD89">
        <f ca="1">IF($C89-AD$1&lt;År1,0,AC88*(1-VLOOKUP($A89,[1]Hugst!$R$5:$W$9,MATCH(ROUNDUP((AD$1)/10,0)*10,[1]Hugst!$R$4:$W$4,0))))</f>
        <v>4697.9838865225138</v>
      </c>
      <c r="AE89">
        <f ca="1">IF($C89-AE$1&lt;År1,0,AD88*(1-VLOOKUP($A89,[1]Hugst!$R$5:$W$9,MATCH(ROUNDUP((AE$1)/10,0)*10,[1]Hugst!$R$4:$W$4,0))))</f>
        <v>4694.0623986460969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763.80722864978088</v>
      </c>
      <c r="E90">
        <f t="shared" ca="1" si="1"/>
        <v>113.57754089783703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3047.7551399179888</v>
      </c>
      <c r="G90">
        <f ca="1">IF($C90-G$1&lt;År1,0,F89*(1-VLOOKUP($A90,[1]Hugst!$R$5:$W$9,MATCH(ROUNDUP((G$1)/10,0)*10,[1]Hugst!$R$4:$W$4,0))))</f>
        <v>3046.155540876151</v>
      </c>
      <c r="H90">
        <f ca="1">IF($C90-H$1&lt;År1,0,G89*(1-VLOOKUP($A90,[1]Hugst!$R$5:$W$9,MATCH(ROUNDUP((H$1)/10,0)*10,[1]Hugst!$R$4:$W$4,0))))</f>
        <v>3044.5692061587129</v>
      </c>
      <c r="I90">
        <f ca="1">IF($C90-I$1&lt;År1,0,H89*(1-VLOOKUP($A90,[1]Hugst!$R$5:$W$9,MATCH(ROUNDUP((I$1)/10,0)*10,[1]Hugst!$R$4:$W$4,0))))</f>
        <v>3042.9962102983504</v>
      </c>
      <c r="J90">
        <f ca="1">IF($C90-J$1&lt;År1,0,I89*(1-VLOOKUP($A90,[1]Hugst!$R$5:$W$9,MATCH(ROUNDUP((J$1)/10,0)*10,[1]Hugst!$R$4:$W$4,0))))</f>
        <v>3041.4366281775897</v>
      </c>
      <c r="K90">
        <f ca="1">IF($C90-K$1&lt;År1,0,J89*(1-VLOOKUP($A90,[1]Hugst!$R$5:$W$9,MATCH(ROUNDUP((K$1)/10,0)*10,[1]Hugst!$R$4:$W$4,0))))</f>
        <v>3039.8905350303598</v>
      </c>
      <c r="L90">
        <f ca="1">IF($C90-L$1&lt;År1,0,K89*(1-VLOOKUP($A90,[1]Hugst!$R$5:$W$9,MATCH(ROUNDUP((L$1)/10,0)*10,[1]Hugst!$R$4:$W$4,0))))</f>
        <v>3038.3580064436269</v>
      </c>
      <c r="M90">
        <f ca="1">IF($C90-M$1&lt;År1,0,L89*(1-VLOOKUP($A90,[1]Hugst!$R$5:$W$9,MATCH(ROUNDUP((M$1)/10,0)*10,[1]Hugst!$R$4:$W$4,0))))</f>
        <v>3034.1261972624275</v>
      </c>
      <c r="N90">
        <f ca="1">IF($C90-N$1&lt;År1,0,M89*(1-VLOOKUP($A90,[1]Hugst!$R$5:$W$9,MATCH(ROUNDUP((N$1)/10,0)*10,[1]Hugst!$R$4:$W$4,0))))</f>
        <v>3030.9130969172152</v>
      </c>
      <c r="O90">
        <f ca="1">IF($C90-O$1&lt;År1,0,N89*(1-VLOOKUP($A90,[1]Hugst!$R$5:$W$9,MATCH(ROUNDUP((O$1)/10,0)*10,[1]Hugst!$R$4:$W$4,0))))</f>
        <v>3027.7026053655304</v>
      </c>
      <c r="P90">
        <f ca="1">IF($C90-P$1&lt;År1,0,O89*(1-VLOOKUP($A90,[1]Hugst!$R$5:$W$9,MATCH(ROUNDUP((P$1)/10,0)*10,[1]Hugst!$R$4:$W$4,0))))</f>
        <v>3019.8811282888159</v>
      </c>
      <c r="Q90">
        <f ca="1">IF($C90-Q$1&lt;År1,0,P89*(1-VLOOKUP($A90,[1]Hugst!$R$5:$W$9,MATCH(ROUNDUP((Q$1)/10,0)*10,[1]Hugst!$R$4:$W$4,0))))</f>
        <v>3012.0791524952751</v>
      </c>
      <c r="R90">
        <f ca="1">IF($C90-R$1&lt;År1,0,Q89*(1-VLOOKUP($A90,[1]Hugst!$R$5:$W$9,MATCH(ROUNDUP((R$1)/10,0)*10,[1]Hugst!$R$4:$W$4,0))))</f>
        <v>3004.2966746726461</v>
      </c>
      <c r="S90">
        <f ca="1">IF($C90-S$1&lt;År1,0,R89*(1-VLOOKUP($A90,[1]Hugst!$R$5:$W$9,MATCH(ROUNDUP((S$1)/10,0)*10,[1]Hugst!$R$4:$W$4,0))))</f>
        <v>2996.5336916060419</v>
      </c>
      <c r="T90">
        <f ca="1">IF($C90-T$1&lt;År1,0,S89*(1-VLOOKUP($A90,[1]Hugst!$R$5:$W$9,MATCH(ROUNDUP((T$1)/10,0)*10,[1]Hugst!$R$4:$W$4,0))))</f>
        <v>2988.790200178184</v>
      </c>
      <c r="U90">
        <f ca="1">IF($C90-U$1&lt;År1,0,T89*(1-VLOOKUP($A90,[1]Hugst!$R$5:$W$9,MATCH(ROUNDUP((U$1)/10,0)*10,[1]Hugst!$R$4:$W$4,0))))</f>
        <v>2981.0661973693259</v>
      </c>
      <c r="V90">
        <f ca="1">IF($C90-V$1&lt;År1,0,U89*(1-VLOOKUP($A90,[1]Hugst!$R$5:$W$9,MATCH(ROUNDUP((V$1)/10,0)*10,[1]Hugst!$R$4:$W$4,0))))</f>
        <v>4730.2443294148197</v>
      </c>
      <c r="W90">
        <f ca="1">IF($C90-W$1&lt;År1,0,V89*(1-VLOOKUP($A90,[1]Hugst!$R$5:$W$9,MATCH(ROUNDUP((W$1)/10,0)*10,[1]Hugst!$R$4:$W$4,0))))</f>
        <v>4719.8793046951932</v>
      </c>
      <c r="X90">
        <f ca="1">IF($C90-X$1&lt;År1,0,W89*(1-VLOOKUP($A90,[1]Hugst!$R$5:$W$9,MATCH(ROUNDUP((X$1)/10,0)*10,[1]Hugst!$R$4:$W$4,0))))</f>
        <v>4716.8020908575063</v>
      </c>
      <c r="Y90">
        <f ca="1">IF($C90-Y$1&lt;År1,0,X89*(1-VLOOKUP($A90,[1]Hugst!$R$5:$W$9,MATCH(ROUNDUP((Y$1)/10,0)*10,[1]Hugst!$R$4:$W$4,0))))</f>
        <v>4713.7439673514236</v>
      </c>
      <c r="Z90">
        <f ca="1">IF($C90-Z$1&lt;År1,0,Y89*(1-VLOOKUP($A90,[1]Hugst!$R$5:$W$9,MATCH(ROUNDUP((Z$1)/10,0)*10,[1]Hugst!$R$4:$W$4,0))))</f>
        <v>4709.7053998719821</v>
      </c>
      <c r="AA90">
        <f ca="1">IF($C90-AA$1&lt;År1,0,Z89*(1-VLOOKUP($A90,[1]Hugst!$R$5:$W$9,MATCH(ROUNDUP((AA$1)/10,0)*10,[1]Hugst!$R$4:$W$4,0))))</f>
        <v>4705.6874586930135</v>
      </c>
      <c r="AB90">
        <f ca="1">IF($C90-AB$1&lt;År1,0,AA89*(1-VLOOKUP($A90,[1]Hugst!$R$5:$W$9,MATCH(ROUNDUP((AB$1)/10,0)*10,[1]Hugst!$R$4:$W$4,0))))</f>
        <v>4701.6901526098136</v>
      </c>
      <c r="AC90">
        <f ca="1">IF($C90-AC$1&lt;År1,0,AB89*(1-VLOOKUP($A90,[1]Hugst!$R$5:$W$9,MATCH(ROUNDUP((AC$1)/10,0)*10,[1]Hugst!$R$4:$W$4,0))))</f>
        <v>4697.7134905487428</v>
      </c>
      <c r="AD90">
        <f ca="1">IF($C90-AD$1&lt;År1,0,AC89*(1-VLOOKUP($A90,[1]Hugst!$R$5:$W$9,MATCH(ROUNDUP((AD$1)/10,0)*10,[1]Hugst!$R$4:$W$4,0))))</f>
        <v>4693.7574815674825</v>
      </c>
      <c r="AE90">
        <f ca="1">IF($C90-AE$1&lt;År1,0,AD89*(1-VLOOKUP($A90,[1]Hugst!$R$5:$W$9,MATCH(ROUNDUP((AE$1)/10,0)*10,[1]Hugst!$R$4:$W$4,0))))</f>
        <v>4689.8221348552497</v>
      </c>
      <c r="AF90">
        <f ca="1">IF($C90-AF$1&lt;År1,0,AE89*(1-VLOOKUP($A90,[1]Hugst!$R$5:$W$9,MATCH(ROUNDUP((AF$1)/10,0)*10,[1]Hugst!$R$4:$W$4,0))))</f>
        <v>4685.9074597331946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759.98819250648376</v>
      </c>
      <c r="E91">
        <f t="shared" ca="1" si="1"/>
        <v>119.00936622256995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3049.3679290994246</v>
      </c>
      <c r="G91">
        <f ca="1">IF($C91-G$1&lt;År1,0,F90*(1-VLOOKUP($A91,[1]Hugst!$R$5:$W$9,MATCH(ROUNDUP((G$1)/10,0)*10,[1]Hugst!$R$4:$W$4,0))))</f>
        <v>3047.7551399179888</v>
      </c>
      <c r="H91">
        <f ca="1">IF($C91-H$1&lt;År1,0,G90*(1-VLOOKUP($A91,[1]Hugst!$R$5:$W$9,MATCH(ROUNDUP((H$1)/10,0)*10,[1]Hugst!$R$4:$W$4,0))))</f>
        <v>3046.155540876151</v>
      </c>
      <c r="I91">
        <f ca="1">IF($C91-I$1&lt;År1,0,H90*(1-VLOOKUP($A91,[1]Hugst!$R$5:$W$9,MATCH(ROUNDUP((I$1)/10,0)*10,[1]Hugst!$R$4:$W$4,0))))</f>
        <v>3044.5692061587129</v>
      </c>
      <c r="J91">
        <f ca="1">IF($C91-J$1&lt;År1,0,I90*(1-VLOOKUP($A91,[1]Hugst!$R$5:$W$9,MATCH(ROUNDUP((J$1)/10,0)*10,[1]Hugst!$R$4:$W$4,0))))</f>
        <v>3042.9962102983504</v>
      </c>
      <c r="K91">
        <f ca="1">IF($C91-K$1&lt;År1,0,J90*(1-VLOOKUP($A91,[1]Hugst!$R$5:$W$9,MATCH(ROUNDUP((K$1)/10,0)*10,[1]Hugst!$R$4:$W$4,0))))</f>
        <v>3041.4366281775897</v>
      </c>
      <c r="L91">
        <f ca="1">IF($C91-L$1&lt;År1,0,K90*(1-VLOOKUP($A91,[1]Hugst!$R$5:$W$9,MATCH(ROUNDUP((L$1)/10,0)*10,[1]Hugst!$R$4:$W$4,0))))</f>
        <v>3039.8905350303598</v>
      </c>
      <c r="M91">
        <f ca="1">IF($C91-M$1&lt;År1,0,L90*(1-VLOOKUP($A91,[1]Hugst!$R$5:$W$9,MATCH(ROUNDUP((M$1)/10,0)*10,[1]Hugst!$R$4:$W$4,0))))</f>
        <v>3038.3580064436269</v>
      </c>
      <c r="N91">
        <f ca="1">IF($C91-N$1&lt;År1,0,M90*(1-VLOOKUP($A91,[1]Hugst!$R$5:$W$9,MATCH(ROUNDUP((N$1)/10,0)*10,[1]Hugst!$R$4:$W$4,0))))</f>
        <v>3034.1261972624275</v>
      </c>
      <c r="O91">
        <f ca="1">IF($C91-O$1&lt;År1,0,N90*(1-VLOOKUP($A91,[1]Hugst!$R$5:$W$9,MATCH(ROUNDUP((O$1)/10,0)*10,[1]Hugst!$R$4:$W$4,0))))</f>
        <v>3030.9130969172152</v>
      </c>
      <c r="P91">
        <f ca="1">IF($C91-P$1&lt;År1,0,O90*(1-VLOOKUP($A91,[1]Hugst!$R$5:$W$9,MATCH(ROUNDUP((P$1)/10,0)*10,[1]Hugst!$R$4:$W$4,0))))</f>
        <v>3023.0840759675152</v>
      </c>
      <c r="Q91">
        <f ca="1">IF($C91-Q$1&lt;År1,0,P90*(1-VLOOKUP($A91,[1]Hugst!$R$5:$W$9,MATCH(ROUNDUP((Q$1)/10,0)*10,[1]Hugst!$R$4:$W$4,0))))</f>
        <v>3015.2745299575276</v>
      </c>
      <c r="R91">
        <f ca="1">IF($C91-R$1&lt;År1,0,Q90*(1-VLOOKUP($A91,[1]Hugst!$R$5:$W$9,MATCH(ROUNDUP((R$1)/10,0)*10,[1]Hugst!$R$4:$W$4,0))))</f>
        <v>3007.4844554829942</v>
      </c>
      <c r="S91">
        <f ca="1">IF($C91-S$1&lt;År1,0,R90*(1-VLOOKUP($A91,[1]Hugst!$R$5:$W$9,MATCH(ROUNDUP((S$1)/10,0)*10,[1]Hugst!$R$4:$W$4,0))))</f>
        <v>2999.7138492367048</v>
      </c>
      <c r="T91">
        <f ca="1">IF($C91-T$1&lt;År1,0,S90*(1-VLOOKUP($A91,[1]Hugst!$R$5:$W$9,MATCH(ROUNDUP((T$1)/10,0)*10,[1]Hugst!$R$4:$W$4,0))))</f>
        <v>2991.9627080086766</v>
      </c>
      <c r="U91">
        <f ca="1">IF($C91-U$1&lt;År1,0,T90*(1-VLOOKUP($A91,[1]Hugst!$R$5:$W$9,MATCH(ROUNDUP((U$1)/10,0)*10,[1]Hugst!$R$4:$W$4,0))))</f>
        <v>2984.2310286863867</v>
      </c>
      <c r="V91">
        <f ca="1">IF($C91-V$1&lt;År1,0,U90*(1-VLOOKUP($A91,[1]Hugst!$R$5:$W$9,MATCH(ROUNDUP((V$1)/10,0)*10,[1]Hugst!$R$4:$W$4,0))))</f>
        <v>2976.5188082546947</v>
      </c>
      <c r="W91">
        <f ca="1">IF($C91-W$1&lt;År1,0,V90*(1-VLOOKUP($A91,[1]Hugst!$R$5:$W$9,MATCH(ROUNDUP((W$1)/10,0)*10,[1]Hugst!$R$4:$W$4,0))))</f>
        <v>4723.0287024716445</v>
      </c>
      <c r="X91">
        <f ca="1">IF($C91-X$1&lt;År1,0,W90*(1-VLOOKUP($A91,[1]Hugst!$R$5:$W$9,MATCH(ROUNDUP((X$1)/10,0)*10,[1]Hugst!$R$4:$W$4,0))))</f>
        <v>4712.6794888066752</v>
      </c>
      <c r="Y91">
        <f ca="1">IF($C91-Y$1&lt;År1,0,X90*(1-VLOOKUP($A91,[1]Hugst!$R$5:$W$9,MATCH(ROUNDUP((Y$1)/10,0)*10,[1]Hugst!$R$4:$W$4,0))))</f>
        <v>4709.6069690239947</v>
      </c>
      <c r="Z91">
        <f ca="1">IF($C91-Z$1&lt;År1,0,Y90*(1-VLOOKUP($A91,[1]Hugst!$R$5:$W$9,MATCH(ROUNDUP((Z$1)/10,0)*10,[1]Hugst!$R$4:$W$4,0))))</f>
        <v>4705.55483588272</v>
      </c>
      <c r="AA91">
        <f ca="1">IF($C91-AA$1&lt;År1,0,Z90*(1-VLOOKUP($A91,[1]Hugst!$R$5:$W$9,MATCH(ROUNDUP((AA$1)/10,0)*10,[1]Hugst!$R$4:$W$4,0))))</f>
        <v>4701.5232845586452</v>
      </c>
      <c r="AB91">
        <f ca="1">IF($C91-AB$1&lt;År1,0,AA90*(1-VLOOKUP($A91,[1]Hugst!$R$5:$W$9,MATCH(ROUNDUP((AB$1)/10,0)*10,[1]Hugst!$R$4:$W$4,0))))</f>
        <v>4697.5123237012158</v>
      </c>
      <c r="AC91">
        <f ca="1">IF($C91-AC$1&lt;År1,0,AB90*(1-VLOOKUP($A91,[1]Hugst!$R$5:$W$9,MATCH(ROUNDUP((AC$1)/10,0)*10,[1]Hugst!$R$4:$W$4,0))))</f>
        <v>4693.5219620904491</v>
      </c>
      <c r="AD91">
        <f ca="1">IF($C91-AD$1&lt;År1,0,AC90*(1-VLOOKUP($A91,[1]Hugst!$R$5:$W$9,MATCH(ROUNDUP((AD$1)/10,0)*10,[1]Hugst!$R$4:$W$4,0))))</f>
        <v>4689.5522086371957</v>
      </c>
      <c r="AE91">
        <f ca="1">IF($C91-AE$1&lt;År1,0,AD90*(1-VLOOKUP($A91,[1]Hugst!$R$5:$W$9,MATCH(ROUNDUP((AE$1)/10,0)*10,[1]Hugst!$R$4:$W$4,0))))</f>
        <v>4685.6030723834028</v>
      </c>
      <c r="AF91">
        <f ca="1">IF($C91-AF$1&lt;År1,0,AE90*(1-VLOOKUP($A91,[1]Hugst!$R$5:$W$9,MATCH(ROUNDUP((AF$1)/10,0)*10,[1]Hugst!$R$4:$W$4,0))))</f>
        <v>4681.6745625023232</v>
      </c>
      <c r="AG91">
        <f ca="1">IF($C91-AG$1&lt;År1,0,AF90*(1-VLOOKUP($A91,[1]Hugst!$R$5:$W$9,MATCH(ROUNDUP((AG$1)/10,0)*10,[1]Hugst!$R$4:$W$4,0))))</f>
        <v>4677.7666882989124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756.18825154397564</v>
      </c>
      <c r="E92">
        <f t="shared" ca="1" si="1"/>
        <v>124.43521266808966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3050.9938345824362</v>
      </c>
      <c r="G92">
        <f ca="1">IF($C92-G$1&lt;År1,0,F91*(1-VLOOKUP($A92,[1]Hugst!$R$5:$W$9,MATCH(ROUNDUP((G$1)/10,0)*10,[1]Hugst!$R$4:$W$4,0))))</f>
        <v>3049.3679290994246</v>
      </c>
      <c r="H92">
        <f ca="1">IF($C92-H$1&lt;År1,0,G91*(1-VLOOKUP($A92,[1]Hugst!$R$5:$W$9,MATCH(ROUNDUP((H$1)/10,0)*10,[1]Hugst!$R$4:$W$4,0))))</f>
        <v>3047.7551399179888</v>
      </c>
      <c r="I92">
        <f ca="1">IF($C92-I$1&lt;År1,0,H91*(1-VLOOKUP($A92,[1]Hugst!$R$5:$W$9,MATCH(ROUNDUP((I$1)/10,0)*10,[1]Hugst!$R$4:$W$4,0))))</f>
        <v>3046.155540876151</v>
      </c>
      <c r="J92">
        <f ca="1">IF($C92-J$1&lt;År1,0,I91*(1-VLOOKUP($A92,[1]Hugst!$R$5:$W$9,MATCH(ROUNDUP((J$1)/10,0)*10,[1]Hugst!$R$4:$W$4,0))))</f>
        <v>3044.5692061587129</v>
      </c>
      <c r="K92">
        <f ca="1">IF($C92-K$1&lt;År1,0,J91*(1-VLOOKUP($A92,[1]Hugst!$R$5:$W$9,MATCH(ROUNDUP((K$1)/10,0)*10,[1]Hugst!$R$4:$W$4,0))))</f>
        <v>3042.9962102983504</v>
      </c>
      <c r="L92">
        <f ca="1">IF($C92-L$1&lt;År1,0,K91*(1-VLOOKUP($A92,[1]Hugst!$R$5:$W$9,MATCH(ROUNDUP((L$1)/10,0)*10,[1]Hugst!$R$4:$W$4,0))))</f>
        <v>3041.4366281775897</v>
      </c>
      <c r="M92">
        <f ca="1">IF($C92-M$1&lt;År1,0,L91*(1-VLOOKUP($A92,[1]Hugst!$R$5:$W$9,MATCH(ROUNDUP((M$1)/10,0)*10,[1]Hugst!$R$4:$W$4,0))))</f>
        <v>3039.8905350303598</v>
      </c>
      <c r="N92">
        <f ca="1">IF($C92-N$1&lt;År1,0,M91*(1-VLOOKUP($A92,[1]Hugst!$R$5:$W$9,MATCH(ROUNDUP((N$1)/10,0)*10,[1]Hugst!$R$4:$W$4,0))))</f>
        <v>3038.3580064436269</v>
      </c>
      <c r="O92">
        <f ca="1">IF($C92-O$1&lt;År1,0,N91*(1-VLOOKUP($A92,[1]Hugst!$R$5:$W$9,MATCH(ROUNDUP((O$1)/10,0)*10,[1]Hugst!$R$4:$W$4,0))))</f>
        <v>3034.1261972624275</v>
      </c>
      <c r="P92">
        <f ca="1">IF($C92-P$1&lt;År1,0,O91*(1-VLOOKUP($A92,[1]Hugst!$R$5:$W$9,MATCH(ROUNDUP((P$1)/10,0)*10,[1]Hugst!$R$4:$W$4,0))))</f>
        <v>3026.2896701592058</v>
      </c>
      <c r="Q92">
        <f ca="1">IF($C92-Q$1&lt;År1,0,P91*(1-VLOOKUP($A92,[1]Hugst!$R$5:$W$9,MATCH(ROUNDUP((Q$1)/10,0)*10,[1]Hugst!$R$4:$W$4,0))))</f>
        <v>3018.4725917838359</v>
      </c>
      <c r="R92">
        <f ca="1">IF($C92-R$1&lt;År1,0,Q91*(1-VLOOKUP($A92,[1]Hugst!$R$5:$W$9,MATCH(ROUNDUP((R$1)/10,0)*10,[1]Hugst!$R$4:$W$4,0))))</f>
        <v>3010.6749586406431</v>
      </c>
      <c r="S92">
        <f ca="1">IF($C92-S$1&lt;År1,0,R91*(1-VLOOKUP($A92,[1]Hugst!$R$5:$W$9,MATCH(ROUNDUP((S$1)/10,0)*10,[1]Hugst!$R$4:$W$4,0))))</f>
        <v>3002.8967673305624</v>
      </c>
      <c r="T92">
        <f ca="1">IF($C92-T$1&lt;År1,0,S91*(1-VLOOKUP($A92,[1]Hugst!$R$5:$W$9,MATCH(ROUNDUP((T$1)/10,0)*10,[1]Hugst!$R$4:$W$4,0))))</f>
        <v>2995.1380145514286</v>
      </c>
      <c r="U92">
        <f ca="1">IF($C92-U$1&lt;År1,0,T91*(1-VLOOKUP($A92,[1]Hugst!$R$5:$W$9,MATCH(ROUNDUP((U$1)/10,0)*10,[1]Hugst!$R$4:$W$4,0))))</f>
        <v>2987.3986970981546</v>
      </c>
      <c r="V92">
        <f ca="1">IF($C92-V$1&lt;År1,0,U91*(1-VLOOKUP($A92,[1]Hugst!$R$5:$W$9,MATCH(ROUNDUP((V$1)/10,0)*10,[1]Hugst!$R$4:$W$4,0))))</f>
        <v>2979.6788118629665</v>
      </c>
      <c r="W92">
        <f ca="1">IF($C92-W$1&lt;År1,0,V91*(1-VLOOKUP($A92,[1]Hugst!$R$5:$W$9,MATCH(ROUNDUP((W$1)/10,0)*10,[1]Hugst!$R$4:$W$4,0))))</f>
        <v>2971.9783558353229</v>
      </c>
      <c r="X92">
        <f ca="1">IF($C92-X$1&lt;År1,0,W91*(1-VLOOKUP($A92,[1]Hugst!$R$5:$W$9,MATCH(ROUNDUP((X$1)/10,0)*10,[1]Hugst!$R$4:$W$4,0))))</f>
        <v>4715.8240824170261</v>
      </c>
      <c r="Y92">
        <f ca="1">IF($C92-Y$1&lt;År1,0,X91*(1-VLOOKUP($A92,[1]Hugst!$R$5:$W$9,MATCH(ROUNDUP((Y$1)/10,0)*10,[1]Hugst!$R$4:$W$4,0))))</f>
        <v>4705.490655688156</v>
      </c>
      <c r="Z92">
        <f ca="1">IF($C92-Z$1&lt;År1,0,Y91*(1-VLOOKUP($A92,[1]Hugst!$R$5:$W$9,MATCH(ROUNDUP((Z$1)/10,0)*10,[1]Hugst!$R$4:$W$4,0))))</f>
        <v>4701.4250247134023</v>
      </c>
      <c r="AA92">
        <f ca="1">IF($C92-AA$1&lt;År1,0,Z91*(1-VLOOKUP($A92,[1]Hugst!$R$5:$W$9,MATCH(ROUNDUP((AA$1)/10,0)*10,[1]Hugst!$R$4:$W$4,0))))</f>
        <v>4697.3799312949577</v>
      </c>
      <c r="AB92">
        <f ca="1">IF($C92-AB$1&lt;År1,0,AA91*(1-VLOOKUP($A92,[1]Hugst!$R$5:$W$9,MATCH(ROUNDUP((AB$1)/10,0)*10,[1]Hugst!$R$4:$W$4,0))))</f>
        <v>4693.3553839371662</v>
      </c>
      <c r="AC92">
        <f ca="1">IF($C92-AC$1&lt;År1,0,AB91*(1-VLOOKUP($A92,[1]Hugst!$R$5:$W$9,MATCH(ROUNDUP((AC$1)/10,0)*10,[1]Hugst!$R$4:$W$4,0))))</f>
        <v>4689.3513912744465</v>
      </c>
      <c r="AD92">
        <f ca="1">IF($C92-AD$1&lt;År1,0,AC91*(1-VLOOKUP($A92,[1]Hugst!$R$5:$W$9,MATCH(ROUNDUP((AD$1)/10,0)*10,[1]Hugst!$R$4:$W$4,0))))</f>
        <v>4685.3679620715629</v>
      </c>
      <c r="AE92">
        <f ca="1">IF($C92-AE$1&lt;År1,0,AD91*(1-VLOOKUP($A92,[1]Hugst!$R$5:$W$9,MATCH(ROUNDUP((AE$1)/10,0)*10,[1]Hugst!$R$4:$W$4,0))))</f>
        <v>4681.4051052238847</v>
      </c>
      <c r="AF92">
        <f ca="1">IF($C92-AF$1&lt;År1,0,AE91*(1-VLOOKUP($A92,[1]Hugst!$R$5:$W$9,MATCH(ROUNDUP((AF$1)/10,0)*10,[1]Hugst!$R$4:$W$4,0))))</f>
        <v>4677.4628297576519</v>
      </c>
      <c r="AG92">
        <f ca="1">IF($C92-AG$1&lt;År1,0,AF91*(1-VLOOKUP($A92,[1]Hugst!$R$5:$W$9,MATCH(ROUNDUP((AG$1)/10,0)*10,[1]Hugst!$R$4:$W$4,0))))</f>
        <v>4673.5411448301793</v>
      </c>
      <c r="AH92">
        <f ca="1">IF($C92-AH$1&lt;År1,0,AG91*(1-VLOOKUP($A92,[1]Hugst!$R$5:$W$9,MATCH(ROUNDUP((AH$1)/10,0)*10,[1]Hugst!$R$4:$W$4,0))))</f>
        <v>4669.6400597302572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752.40731028625669</v>
      </c>
      <c r="E93">
        <f t="shared" ca="1" si="1"/>
        <v>129.8551022169122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3052.6327828735398</v>
      </c>
      <c r="G93">
        <f ca="1">IF($C93-G$1&lt;År1,0,F92*(1-VLOOKUP($A93,[1]Hugst!$R$5:$W$9,MATCH(ROUNDUP((G$1)/10,0)*10,[1]Hugst!$R$4:$W$4,0))))</f>
        <v>3050.9938345824362</v>
      </c>
      <c r="H93">
        <f ca="1">IF($C93-H$1&lt;År1,0,G92*(1-VLOOKUP($A93,[1]Hugst!$R$5:$W$9,MATCH(ROUNDUP((H$1)/10,0)*10,[1]Hugst!$R$4:$W$4,0))))</f>
        <v>3049.3679290994246</v>
      </c>
      <c r="I93">
        <f ca="1">IF($C93-I$1&lt;År1,0,H92*(1-VLOOKUP($A93,[1]Hugst!$R$5:$W$9,MATCH(ROUNDUP((I$1)/10,0)*10,[1]Hugst!$R$4:$W$4,0))))</f>
        <v>3047.7551399179888</v>
      </c>
      <c r="J93">
        <f ca="1">IF($C93-J$1&lt;År1,0,I92*(1-VLOOKUP($A93,[1]Hugst!$R$5:$W$9,MATCH(ROUNDUP((J$1)/10,0)*10,[1]Hugst!$R$4:$W$4,0))))</f>
        <v>3046.155540876151</v>
      </c>
      <c r="K93">
        <f ca="1">IF($C93-K$1&lt;År1,0,J92*(1-VLOOKUP($A93,[1]Hugst!$R$5:$W$9,MATCH(ROUNDUP((K$1)/10,0)*10,[1]Hugst!$R$4:$W$4,0))))</f>
        <v>3044.5692061587129</v>
      </c>
      <c r="L93">
        <f ca="1">IF($C93-L$1&lt;År1,0,K92*(1-VLOOKUP($A93,[1]Hugst!$R$5:$W$9,MATCH(ROUNDUP((L$1)/10,0)*10,[1]Hugst!$R$4:$W$4,0))))</f>
        <v>3042.9962102983504</v>
      </c>
      <c r="M93">
        <f ca="1">IF($C93-M$1&lt;År1,0,L92*(1-VLOOKUP($A93,[1]Hugst!$R$5:$W$9,MATCH(ROUNDUP((M$1)/10,0)*10,[1]Hugst!$R$4:$W$4,0))))</f>
        <v>3041.4366281775897</v>
      </c>
      <c r="N93">
        <f ca="1">IF($C93-N$1&lt;År1,0,M92*(1-VLOOKUP($A93,[1]Hugst!$R$5:$W$9,MATCH(ROUNDUP((N$1)/10,0)*10,[1]Hugst!$R$4:$W$4,0))))</f>
        <v>3039.8905350303598</v>
      </c>
      <c r="O93">
        <f ca="1">IF($C93-O$1&lt;År1,0,N92*(1-VLOOKUP($A93,[1]Hugst!$R$5:$W$9,MATCH(ROUNDUP((O$1)/10,0)*10,[1]Hugst!$R$4:$W$4,0))))</f>
        <v>3038.3580064436269</v>
      </c>
      <c r="P93">
        <f ca="1">IF($C93-P$1&lt;År1,0,O92*(1-VLOOKUP($A93,[1]Hugst!$R$5:$W$9,MATCH(ROUNDUP((P$1)/10,0)*10,[1]Hugst!$R$4:$W$4,0))))</f>
        <v>3029.4978691649085</v>
      </c>
      <c r="Q93">
        <f ca="1">IF($C93-Q$1&lt;År1,0,P92*(1-VLOOKUP($A93,[1]Hugst!$R$5:$W$9,MATCH(ROUNDUP((Q$1)/10,0)*10,[1]Hugst!$R$4:$W$4,0))))</f>
        <v>3021.6732960860813</v>
      </c>
      <c r="R93">
        <f ca="1">IF($C93-R$1&lt;År1,0,Q92*(1-VLOOKUP($A93,[1]Hugst!$R$5:$W$9,MATCH(ROUNDUP((R$1)/10,0)*10,[1]Hugst!$R$4:$W$4,0))))</f>
        <v>3013.8681420675553</v>
      </c>
      <c r="S93">
        <f ca="1">IF($C93-S$1&lt;År1,0,R92*(1-VLOOKUP($A93,[1]Hugst!$R$5:$W$9,MATCH(ROUNDUP((S$1)/10,0)*10,[1]Hugst!$R$4:$W$4,0))))</f>
        <v>3006.0824036189879</v>
      </c>
      <c r="T93">
        <f ca="1">IF($C93-T$1&lt;År1,0,S92*(1-VLOOKUP($A93,[1]Hugst!$R$5:$W$9,MATCH(ROUNDUP((T$1)/10,0)*10,[1]Hugst!$R$4:$W$4,0))))</f>
        <v>2998.3160773464988</v>
      </c>
      <c r="U93">
        <f ca="1">IF($C93-U$1&lt;År1,0,T92*(1-VLOOKUP($A93,[1]Hugst!$R$5:$W$9,MATCH(ROUNDUP((U$1)/10,0)*10,[1]Hugst!$R$4:$W$4,0))))</f>
        <v>2990.56915995296</v>
      </c>
      <c r="V93">
        <f ca="1">IF($C93-V$1&lt;År1,0,U92*(1-VLOOKUP($A93,[1]Hugst!$R$5:$W$9,MATCH(ROUNDUP((V$1)/10,0)*10,[1]Hugst!$R$4:$W$4,0))))</f>
        <v>2982.8416482381745</v>
      </c>
      <c r="W93">
        <f ca="1">IF($C93-W$1&lt;År1,0,V92*(1-VLOOKUP($A93,[1]Hugst!$R$5:$W$9,MATCH(ROUNDUP((W$1)/10,0)*10,[1]Hugst!$R$4:$W$4,0))))</f>
        <v>2975.1335390991076</v>
      </c>
      <c r="X93">
        <f ca="1">IF($C93-X$1&lt;År1,0,W92*(1-VLOOKUP($A93,[1]Hugst!$R$5:$W$9,MATCH(ROUNDUP((X$1)/10,0)*10,[1]Hugst!$R$4:$W$4,0))))</f>
        <v>2967.4448295298112</v>
      </c>
      <c r="Y93">
        <f ca="1">IF($C93-Y$1&lt;År1,0,X92*(1-VLOOKUP($A93,[1]Hugst!$R$5:$W$9,MATCH(ROUNDUP((Y$1)/10,0)*10,[1]Hugst!$R$4:$W$4,0))))</f>
        <v>4708.6304524607967</v>
      </c>
      <c r="Z93">
        <f ca="1">IF($C93-Z$1&lt;År1,0,Y92*(1-VLOOKUP($A93,[1]Hugst!$R$5:$W$9,MATCH(ROUNDUP((Z$1)/10,0)*10,[1]Hugst!$R$4:$W$4,0))))</f>
        <v>4697.315862599884</v>
      </c>
      <c r="AA93">
        <f ca="1">IF($C93-AA$1&lt;År1,0,Z92*(1-VLOOKUP($A93,[1]Hugst!$R$5:$W$9,MATCH(ROUNDUP((AA$1)/10,0)*10,[1]Hugst!$R$4:$W$4,0))))</f>
        <v>4693.2572947975868</v>
      </c>
      <c r="AB93">
        <f ca="1">IF($C93-AB$1&lt;År1,0,AA92*(1-VLOOKUP($A93,[1]Hugst!$R$5:$W$9,MATCH(ROUNDUP((AB$1)/10,0)*10,[1]Hugst!$R$4:$W$4,0))))</f>
        <v>4689.2192288719452</v>
      </c>
      <c r="AC93">
        <f ca="1">IF($C93-AC$1&lt;År1,0,AB92*(1-VLOOKUP($A93,[1]Hugst!$R$5:$W$9,MATCH(ROUNDUP((AC$1)/10,0)*10,[1]Hugst!$R$4:$W$4,0))))</f>
        <v>4685.2016733125292</v>
      </c>
      <c r="AD93">
        <f ca="1">IF($C93-AD$1&lt;År1,0,AC92*(1-VLOOKUP($A93,[1]Hugst!$R$5:$W$9,MATCH(ROUNDUP((AD$1)/10,0)*10,[1]Hugst!$R$4:$W$4,0))))</f>
        <v>4681.2046367387575</v>
      </c>
      <c r="AE93">
        <f ca="1">IF($C93-AE$1&lt;År1,0,AD92*(1-VLOOKUP($A93,[1]Hugst!$R$5:$W$9,MATCH(ROUNDUP((AE$1)/10,0)*10,[1]Hugst!$R$4:$W$4,0))))</f>
        <v>4677.2281279001672</v>
      </c>
      <c r="AF93">
        <f ca="1">IF($C93-AF$1&lt;År1,0,AE92*(1-VLOOKUP($A93,[1]Hugst!$R$5:$W$9,MATCH(ROUNDUP((AF$1)/10,0)*10,[1]Hugst!$R$4:$W$4,0))))</f>
        <v>4673.2721556766737</v>
      </c>
      <c r="AG93">
        <f ca="1">IF($C93-AG$1&lt;År1,0,AF92*(1-VLOOKUP($A93,[1]Hugst!$R$5:$W$9,MATCH(ROUNDUP((AG$1)/10,0)*10,[1]Hugst!$R$4:$W$4,0))))</f>
        <v>4669.3367290788356</v>
      </c>
      <c r="AH93">
        <f ca="1">IF($C93-AH$1&lt;År1,0,AG92*(1-VLOOKUP($A93,[1]Hugst!$R$5:$W$9,MATCH(ROUNDUP((AH$1)/10,0)*10,[1]Hugst!$R$4:$W$4,0))))</f>
        <v>4665.4218572480586</v>
      </c>
      <c r="AI93">
        <f ca="1">IF($C93-AI$1&lt;År1,0,AH92*(1-VLOOKUP($A93,[1]Hugst!$R$5:$W$9,MATCH(ROUNDUP((AI$1)/10,0)*10,[1]Hugst!$R$4:$W$4,0))))</f>
        <v>4661.5275494569969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748.64527373483725</v>
      </c>
      <c r="E94">
        <f t="shared" ca="1" si="1"/>
        <v>131.32169263900141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3050.3373367442096</v>
      </c>
      <c r="G94">
        <f ca="1">IF($C94-G$1&lt;År1,0,F93*(1-VLOOKUP($A94,[1]Hugst!$R$5:$W$9,MATCH(ROUNDUP((G$1)/10,0)*10,[1]Hugst!$R$4:$W$4,0))))</f>
        <v>3052.6327828735398</v>
      </c>
      <c r="H94">
        <f ca="1">IF($C94-H$1&lt;År1,0,G93*(1-VLOOKUP($A94,[1]Hugst!$R$5:$W$9,MATCH(ROUNDUP((H$1)/10,0)*10,[1]Hugst!$R$4:$W$4,0))))</f>
        <v>3050.9938345824362</v>
      </c>
      <c r="I94">
        <f ca="1">IF($C94-I$1&lt;År1,0,H93*(1-VLOOKUP($A94,[1]Hugst!$R$5:$W$9,MATCH(ROUNDUP((I$1)/10,0)*10,[1]Hugst!$R$4:$W$4,0))))</f>
        <v>3049.3679290994246</v>
      </c>
      <c r="J94">
        <f ca="1">IF($C94-J$1&lt;År1,0,I93*(1-VLOOKUP($A94,[1]Hugst!$R$5:$W$9,MATCH(ROUNDUP((J$1)/10,0)*10,[1]Hugst!$R$4:$W$4,0))))</f>
        <v>3047.7551399179888</v>
      </c>
      <c r="K94">
        <f ca="1">IF($C94-K$1&lt;År1,0,J93*(1-VLOOKUP($A94,[1]Hugst!$R$5:$W$9,MATCH(ROUNDUP((K$1)/10,0)*10,[1]Hugst!$R$4:$W$4,0))))</f>
        <v>3046.155540876151</v>
      </c>
      <c r="L94">
        <f ca="1">IF($C94-L$1&lt;År1,0,K93*(1-VLOOKUP($A94,[1]Hugst!$R$5:$W$9,MATCH(ROUNDUP((L$1)/10,0)*10,[1]Hugst!$R$4:$W$4,0))))</f>
        <v>3044.5692061587129</v>
      </c>
      <c r="M94">
        <f ca="1">IF($C94-M$1&lt;År1,0,L93*(1-VLOOKUP($A94,[1]Hugst!$R$5:$W$9,MATCH(ROUNDUP((M$1)/10,0)*10,[1]Hugst!$R$4:$W$4,0))))</f>
        <v>3042.9962102983504</v>
      </c>
      <c r="N94">
        <f ca="1">IF($C94-N$1&lt;År1,0,M93*(1-VLOOKUP($A94,[1]Hugst!$R$5:$W$9,MATCH(ROUNDUP((N$1)/10,0)*10,[1]Hugst!$R$4:$W$4,0))))</f>
        <v>3041.4366281775897</v>
      </c>
      <c r="O94">
        <f ca="1">IF($C94-O$1&lt;År1,0,N93*(1-VLOOKUP($A94,[1]Hugst!$R$5:$W$9,MATCH(ROUNDUP((O$1)/10,0)*10,[1]Hugst!$R$4:$W$4,0))))</f>
        <v>3039.8905350303598</v>
      </c>
      <c r="P94">
        <f ca="1">IF($C94-P$1&lt;År1,0,O93*(1-VLOOKUP($A94,[1]Hugst!$R$5:$W$9,MATCH(ROUNDUP((P$1)/10,0)*10,[1]Hugst!$R$4:$W$4,0))))</f>
        <v>3033.7232230439672</v>
      </c>
      <c r="Q94">
        <f ca="1">IF($C94-Q$1&lt;År1,0,P93*(1-VLOOKUP($A94,[1]Hugst!$R$5:$W$9,MATCH(ROUNDUP((Q$1)/10,0)*10,[1]Hugst!$R$4:$W$4,0))))</f>
        <v>3024.8766012288943</v>
      </c>
      <c r="R94">
        <f ca="1">IF($C94-R$1&lt;År1,0,Q93*(1-VLOOKUP($A94,[1]Hugst!$R$5:$W$9,MATCH(ROUNDUP((R$1)/10,0)*10,[1]Hugst!$R$4:$W$4,0))))</f>
        <v>3017.0639639395094</v>
      </c>
      <c r="S94">
        <f ca="1">IF($C94-S$1&lt;År1,0,R93*(1-VLOOKUP($A94,[1]Hugst!$R$5:$W$9,MATCH(ROUNDUP((S$1)/10,0)*10,[1]Hugst!$R$4:$W$4,0))))</f>
        <v>3009.27071608813</v>
      </c>
      <c r="T94">
        <f ca="1">IF($C94-T$1&lt;År1,0,S93*(1-VLOOKUP($A94,[1]Hugst!$R$5:$W$9,MATCH(ROUNDUP((T$1)/10,0)*10,[1]Hugst!$R$4:$W$4,0))))</f>
        <v>3001.4968541897383</v>
      </c>
      <c r="U94">
        <f ca="1">IF($C94-U$1&lt;År1,0,T93*(1-VLOOKUP($A94,[1]Hugst!$R$5:$W$9,MATCH(ROUNDUP((U$1)/10,0)*10,[1]Hugst!$R$4:$W$4,0))))</f>
        <v>2993.7423748556312</v>
      </c>
      <c r="V94">
        <f ca="1">IF($C94-V$1&lt;År1,0,U93*(1-VLOOKUP($A94,[1]Hugst!$R$5:$W$9,MATCH(ROUNDUP((V$1)/10,0)*10,[1]Hugst!$R$4:$W$4,0))))</f>
        <v>2986.0072747937097</v>
      </c>
      <c r="W94">
        <f ca="1">IF($C94-W$1&lt;År1,0,V93*(1-VLOOKUP($A94,[1]Hugst!$R$5:$W$9,MATCH(ROUNDUP((W$1)/10,0)*10,[1]Hugst!$R$4:$W$4,0))))</f>
        <v>2978.2915508086585</v>
      </c>
      <c r="X94">
        <f ca="1">IF($C94-X$1&lt;År1,0,W93*(1-VLOOKUP($A94,[1]Hugst!$R$5:$W$9,MATCH(ROUNDUP((X$1)/10,0)*10,[1]Hugst!$R$4:$W$4,0))))</f>
        <v>2970.5951998021765</v>
      </c>
      <c r="Y94">
        <f ca="1">IF($C94-Y$1&lt;År1,0,X93*(1-VLOOKUP($A94,[1]Hugst!$R$5:$W$9,MATCH(ROUNDUP((Y$1)/10,0)*10,[1]Hugst!$R$4:$W$4,0))))</f>
        <v>2962.9182187729011</v>
      </c>
      <c r="Z94">
        <f ca="1">IF($C94-Z$1&lt;År1,0,Y93*(1-VLOOKUP($A94,[1]Hugst!$R$5:$W$9,MATCH(ROUNDUP((Z$1)/10,0)*10,[1]Hugst!$R$4:$W$4,0))))</f>
        <v>4700.4502046408434</v>
      </c>
      <c r="AA94">
        <f ca="1">IF($C94-AA$1&lt;År1,0,Z93*(1-VLOOKUP($A94,[1]Hugst!$R$5:$W$9,MATCH(ROUNDUP((AA$1)/10,0)*10,[1]Hugst!$R$4:$W$4,0))))</f>
        <v>4689.1552714826548</v>
      </c>
      <c r="AB94">
        <f ca="1">IF($C94-AB$1&lt;År1,0,AA93*(1-VLOOKUP($A94,[1]Hugst!$R$5:$W$9,MATCH(ROUNDUP((AB$1)/10,0)*10,[1]Hugst!$R$4:$W$4,0))))</f>
        <v>4685.1037545820482</v>
      </c>
      <c r="AC94">
        <f ca="1">IF($C94-AC$1&lt;År1,0,AB93*(1-VLOOKUP($A94,[1]Hugst!$R$5:$W$9,MATCH(ROUNDUP((AC$1)/10,0)*10,[1]Hugst!$R$4:$W$4,0))))</f>
        <v>4681.0727039404301</v>
      </c>
      <c r="AD94">
        <f ca="1">IF($C94-AD$1&lt;År1,0,AC93*(1-VLOOKUP($A94,[1]Hugst!$R$5:$W$9,MATCH(ROUNDUP((AD$1)/10,0)*10,[1]Hugst!$R$4:$W$4,0))))</f>
        <v>4677.0621280326213</v>
      </c>
      <c r="AE94">
        <f ca="1">IF($C94-AE$1&lt;År1,0,AD93*(1-VLOOKUP($A94,[1]Hugst!$R$5:$W$9,MATCH(ROUNDUP((AE$1)/10,0)*10,[1]Hugst!$R$4:$W$4,0))))</f>
        <v>4673.0720354630666</v>
      </c>
      <c r="AF94">
        <f ca="1">IF($C94-AF$1&lt;År1,0,AE93*(1-VLOOKUP($A94,[1]Hugst!$R$5:$W$9,MATCH(ROUNDUP((AF$1)/10,0)*10,[1]Hugst!$R$4:$W$4,0))))</f>
        <v>4669.1024349661029</v>
      </c>
      <c r="AG94">
        <f ca="1">IF($C94-AG$1&lt;År1,0,AF93*(1-VLOOKUP($A94,[1]Hugst!$R$5:$W$9,MATCH(ROUNDUP((AG$1)/10,0)*10,[1]Hugst!$R$4:$W$4,0))))</f>
        <v>4665.1533354062185</v>
      </c>
      <c r="AH94">
        <f ca="1">IF($C94-AH$1&lt;År1,0,AG93*(1-VLOOKUP($A94,[1]Hugst!$R$5:$W$9,MATCH(ROUNDUP((AH$1)/10,0)*10,[1]Hugst!$R$4:$W$4,0))))</f>
        <v>4661.2247457783169</v>
      </c>
      <c r="AI94">
        <f ca="1">IF($C94-AI$1&lt;År1,0,AH93*(1-VLOOKUP($A94,[1]Hugst!$R$5:$W$9,MATCH(ROUNDUP((AI$1)/10,0)*10,[1]Hugst!$R$4:$W$4,0))))</f>
        <v>4657.3166752079242</v>
      </c>
      <c r="AJ94">
        <f ca="1">IF($C94-AJ$1&lt;År1,0,AI93*(1-VLOOKUP($A94,[1]Hugst!$R$5:$W$9,MATCH(ROUNDUP((AJ$1)/10,0)*10,[1]Hugst!$R$4:$W$4,0))))</f>
        <v>4657.3795800273956</v>
      </c>
      <c r="AL94">
        <f ca="1">SUM(F94:AJ94)</f>
        <v>111860.2139908097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254.69095675387072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854.01755608046983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253.41750197010114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852.74410129670025</v>
      </c>
      <c r="G96">
        <f ca="1">IF($C96-G$1&lt;År1,0,F95*(1-VLOOKUP($A96,[1]Hugst!$R$5:$W$9,MATCH(ROUNDUP((G$1)/10,0)*10,[1]Hugst!$R$4:$W$4,0))))</f>
        <v>854.01755608046983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252.1504144602514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851.47701378685042</v>
      </c>
      <c r="G97">
        <f ca="1">IF($C97-G$1&lt;År1,0,F96*(1-VLOOKUP($A97,[1]Hugst!$R$5:$W$9,MATCH(ROUNDUP((G$1)/10,0)*10,[1]Hugst!$R$4:$W$4,0))))</f>
        <v>852.74410129670025</v>
      </c>
      <c r="H97">
        <f ca="1">IF($C97-H$1&lt;År1,0,G96*(1-VLOOKUP($A97,[1]Hugst!$R$5:$W$9,MATCH(ROUNDUP((H$1)/10,0)*10,[1]Hugst!$R$4:$W$4,0))))</f>
        <v>854.01755608046983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250.88966238794376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850.21626171454284</v>
      </c>
      <c r="G98">
        <f ca="1">IF($C98-G$1&lt;År1,0,F97*(1-VLOOKUP($A98,[1]Hugst!$R$5:$W$9,MATCH(ROUNDUP((G$1)/10,0)*10,[1]Hugst!$R$4:$W$4,0))))</f>
        <v>851.47701378685042</v>
      </c>
      <c r="H98">
        <f ca="1">IF($C98-H$1&lt;År1,0,G97*(1-VLOOKUP($A98,[1]Hugst!$R$5:$W$9,MATCH(ROUNDUP((H$1)/10,0)*10,[1]Hugst!$R$4:$W$4,0))))</f>
        <v>852.74410129670025</v>
      </c>
      <c r="I98">
        <f ca="1">IF($C98-I$1&lt;År1,0,H97*(1-VLOOKUP($A98,[1]Hugst!$R$5:$W$9,MATCH(ROUNDUP((I$1)/10,0)*10,[1]Hugst!$R$4:$W$4,0))))</f>
        <v>854.01755608046983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249.63521407601093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848.96181340261001</v>
      </c>
      <c r="G99">
        <f ca="1">IF($C99-G$1&lt;År1,0,F98*(1-VLOOKUP($A99,[1]Hugst!$R$5:$W$9,MATCH(ROUNDUP((G$1)/10,0)*10,[1]Hugst!$R$4:$W$4,0))))</f>
        <v>850.21626171454284</v>
      </c>
      <c r="H99">
        <f ca="1">IF($C99-H$1&lt;År1,0,G98*(1-VLOOKUP($A99,[1]Hugst!$R$5:$W$9,MATCH(ROUNDUP((H$1)/10,0)*10,[1]Hugst!$R$4:$W$4,0))))</f>
        <v>851.47701378685042</v>
      </c>
      <c r="I99">
        <f ca="1">IF($C99-I$1&lt;År1,0,H98*(1-VLOOKUP($A99,[1]Hugst!$R$5:$W$9,MATCH(ROUNDUP((I$1)/10,0)*10,[1]Hugst!$R$4:$W$4,0))))</f>
        <v>852.74410129670025</v>
      </c>
      <c r="J99">
        <f ca="1">IF($C99-J$1&lt;År1,0,I98*(1-VLOOKUP($A99,[1]Hugst!$R$5:$W$9,MATCH(ROUNDUP((J$1)/10,0)*10,[1]Hugst!$R$4:$W$4,0))))</f>
        <v>854.01755608046983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248.38703800562644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847.71363733222552</v>
      </c>
      <c r="G100">
        <f ca="1">IF($C100-G$1&lt;År1,0,F99*(1-VLOOKUP($A100,[1]Hugst!$R$5:$W$9,MATCH(ROUNDUP((G$1)/10,0)*10,[1]Hugst!$R$4:$W$4,0))))</f>
        <v>848.96181340261001</v>
      </c>
      <c r="H100">
        <f ca="1">IF($C100-H$1&lt;År1,0,G99*(1-VLOOKUP($A100,[1]Hugst!$R$5:$W$9,MATCH(ROUNDUP((H$1)/10,0)*10,[1]Hugst!$R$4:$W$4,0))))</f>
        <v>850.21626171454284</v>
      </c>
      <c r="I100">
        <f ca="1">IF($C100-I$1&lt;År1,0,H99*(1-VLOOKUP($A100,[1]Hugst!$R$5:$W$9,MATCH(ROUNDUP((I$1)/10,0)*10,[1]Hugst!$R$4:$W$4,0))))</f>
        <v>851.47701378685042</v>
      </c>
      <c r="J100">
        <f ca="1">IF($C100-J$1&lt;År1,0,I99*(1-VLOOKUP($A100,[1]Hugst!$R$5:$W$9,MATCH(ROUNDUP((J$1)/10,0)*10,[1]Hugst!$R$4:$W$4,0))))</f>
        <v>852.74410129670025</v>
      </c>
      <c r="K100">
        <f ca="1">IF($C100-K$1&lt;År1,0,J99*(1-VLOOKUP($A100,[1]Hugst!$R$5:$W$9,MATCH(ROUNDUP((K$1)/10,0)*10,[1]Hugst!$R$4:$W$4,0))))</f>
        <v>854.01755608046983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247.14510281560933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846.47170214220841</v>
      </c>
      <c r="G101">
        <f ca="1">IF($C101-G$1&lt;År1,0,F100*(1-VLOOKUP($A101,[1]Hugst!$R$5:$W$9,MATCH(ROUNDUP((G$1)/10,0)*10,[1]Hugst!$R$4:$W$4,0))))</f>
        <v>847.71363733222552</v>
      </c>
      <c r="H101">
        <f ca="1">IF($C101-H$1&lt;År1,0,G100*(1-VLOOKUP($A101,[1]Hugst!$R$5:$W$9,MATCH(ROUNDUP((H$1)/10,0)*10,[1]Hugst!$R$4:$W$4,0))))</f>
        <v>848.96181340261001</v>
      </c>
      <c r="I101">
        <f ca="1">IF($C101-I$1&lt;År1,0,H100*(1-VLOOKUP($A101,[1]Hugst!$R$5:$W$9,MATCH(ROUNDUP((I$1)/10,0)*10,[1]Hugst!$R$4:$W$4,0))))</f>
        <v>850.21626171454284</v>
      </c>
      <c r="J101">
        <f ca="1">IF($C101-J$1&lt;År1,0,I100*(1-VLOOKUP($A101,[1]Hugst!$R$5:$W$9,MATCH(ROUNDUP((J$1)/10,0)*10,[1]Hugst!$R$4:$W$4,0))))</f>
        <v>851.47701378685042</v>
      </c>
      <c r="K101">
        <f ca="1">IF($C101-K$1&lt;År1,0,J100*(1-VLOOKUP($A101,[1]Hugst!$R$5:$W$9,MATCH(ROUNDUP((K$1)/10,0)*10,[1]Hugst!$R$4:$W$4,0))))</f>
        <v>852.74410129670025</v>
      </c>
      <c r="L101">
        <f ca="1">IF($C101-L$1&lt;År1,0,K100*(1-VLOOKUP($A101,[1]Hugst!$R$5:$W$9,MATCH(ROUNDUP((L$1)/10,0)*10,[1]Hugst!$R$4:$W$4,0))))</f>
        <v>854.01755608046983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245.90937730151927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845.23597662811835</v>
      </c>
      <c r="G102">
        <f ca="1">IF($C102-G$1&lt;År1,0,F101*(1-VLOOKUP($A102,[1]Hugst!$R$5:$W$9,MATCH(ROUNDUP((G$1)/10,0)*10,[1]Hugst!$R$4:$W$4,0))))</f>
        <v>846.47170214220841</v>
      </c>
      <c r="H102">
        <f ca="1">IF($C102-H$1&lt;År1,0,G101*(1-VLOOKUP($A102,[1]Hugst!$R$5:$W$9,MATCH(ROUNDUP((H$1)/10,0)*10,[1]Hugst!$R$4:$W$4,0))))</f>
        <v>847.71363733222552</v>
      </c>
      <c r="I102">
        <f ca="1">IF($C102-I$1&lt;År1,0,H101*(1-VLOOKUP($A102,[1]Hugst!$R$5:$W$9,MATCH(ROUNDUP((I$1)/10,0)*10,[1]Hugst!$R$4:$W$4,0))))</f>
        <v>848.96181340261001</v>
      </c>
      <c r="J102">
        <f ca="1">IF($C102-J$1&lt;År1,0,I101*(1-VLOOKUP($A102,[1]Hugst!$R$5:$W$9,MATCH(ROUNDUP((J$1)/10,0)*10,[1]Hugst!$R$4:$W$4,0))))</f>
        <v>850.21626171454284</v>
      </c>
      <c r="K102">
        <f ca="1">IF($C102-K$1&lt;År1,0,J101*(1-VLOOKUP($A102,[1]Hugst!$R$5:$W$9,MATCH(ROUNDUP((K$1)/10,0)*10,[1]Hugst!$R$4:$W$4,0))))</f>
        <v>851.47701378685042</v>
      </c>
      <c r="L102">
        <f ca="1">IF($C102-L$1&lt;År1,0,K101*(1-VLOOKUP($A102,[1]Hugst!$R$5:$W$9,MATCH(ROUNDUP((L$1)/10,0)*10,[1]Hugst!$R$4:$W$4,0))))</f>
        <v>852.74410129670025</v>
      </c>
      <c r="M102">
        <f ca="1">IF($C102-M$1&lt;År1,0,L101*(1-VLOOKUP($A102,[1]Hugst!$R$5:$W$9,MATCH(ROUNDUP((M$1)/10,0)*10,[1]Hugst!$R$4:$W$4,0))))</f>
        <v>854.01755608046983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244.67983041501748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844.00642974161656</v>
      </c>
      <c r="G103">
        <f ca="1">IF($C103-G$1&lt;År1,0,F102*(1-VLOOKUP($A103,[1]Hugst!$R$5:$W$9,MATCH(ROUNDUP((G$1)/10,0)*10,[1]Hugst!$R$4:$W$4,0))))</f>
        <v>845.23597662811835</v>
      </c>
      <c r="H103">
        <f ca="1">IF($C103-H$1&lt;År1,0,G102*(1-VLOOKUP($A103,[1]Hugst!$R$5:$W$9,MATCH(ROUNDUP((H$1)/10,0)*10,[1]Hugst!$R$4:$W$4,0))))</f>
        <v>846.47170214220841</v>
      </c>
      <c r="I103">
        <f ca="1">IF($C103-I$1&lt;År1,0,H102*(1-VLOOKUP($A103,[1]Hugst!$R$5:$W$9,MATCH(ROUNDUP((I$1)/10,0)*10,[1]Hugst!$R$4:$W$4,0))))</f>
        <v>847.71363733222552</v>
      </c>
      <c r="J103">
        <f ca="1">IF($C103-J$1&lt;År1,0,I102*(1-VLOOKUP($A103,[1]Hugst!$R$5:$W$9,MATCH(ROUNDUP((J$1)/10,0)*10,[1]Hugst!$R$4:$W$4,0))))</f>
        <v>848.96181340261001</v>
      </c>
      <c r="K103">
        <f ca="1">IF($C103-K$1&lt;År1,0,J102*(1-VLOOKUP($A103,[1]Hugst!$R$5:$W$9,MATCH(ROUNDUP((K$1)/10,0)*10,[1]Hugst!$R$4:$W$4,0))))</f>
        <v>850.21626171454284</v>
      </c>
      <c r="L103">
        <f ca="1">IF($C103-L$1&lt;År1,0,K102*(1-VLOOKUP($A103,[1]Hugst!$R$5:$W$9,MATCH(ROUNDUP((L$1)/10,0)*10,[1]Hugst!$R$4:$W$4,0))))</f>
        <v>851.47701378685042</v>
      </c>
      <c r="M103">
        <f ca="1">IF($C103-M$1&lt;År1,0,L102*(1-VLOOKUP($A103,[1]Hugst!$R$5:$W$9,MATCH(ROUNDUP((M$1)/10,0)*10,[1]Hugst!$R$4:$W$4,0))))</f>
        <v>852.74410129670025</v>
      </c>
      <c r="N103">
        <f ca="1">IF($C103-N$1&lt;År1,0,M102*(1-VLOOKUP($A103,[1]Hugst!$R$5:$W$9,MATCH(ROUNDUP((N$1)/10,0)*10,[1]Hugst!$R$4:$W$4,0))))</f>
        <v>854.01755608046983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243.45643126293999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842.78303058953907</v>
      </c>
      <c r="G104">
        <f ca="1">IF($C104-G$1&lt;År1,0,F103*(1-VLOOKUP($A104,[1]Hugst!$R$5:$W$9,MATCH(ROUNDUP((G$1)/10,0)*10,[1]Hugst!$R$4:$W$4,0))))</f>
        <v>844.00642974161656</v>
      </c>
      <c r="H104">
        <f ca="1">IF($C104-H$1&lt;År1,0,G103*(1-VLOOKUP($A104,[1]Hugst!$R$5:$W$9,MATCH(ROUNDUP((H$1)/10,0)*10,[1]Hugst!$R$4:$W$4,0))))</f>
        <v>845.23597662811835</v>
      </c>
      <c r="I104">
        <f ca="1">IF($C104-I$1&lt;År1,0,H103*(1-VLOOKUP($A104,[1]Hugst!$R$5:$W$9,MATCH(ROUNDUP((I$1)/10,0)*10,[1]Hugst!$R$4:$W$4,0))))</f>
        <v>846.47170214220841</v>
      </c>
      <c r="J104">
        <f ca="1">IF($C104-J$1&lt;År1,0,I103*(1-VLOOKUP($A104,[1]Hugst!$R$5:$W$9,MATCH(ROUNDUP((J$1)/10,0)*10,[1]Hugst!$R$4:$W$4,0))))</f>
        <v>847.71363733222552</v>
      </c>
      <c r="K104">
        <f ca="1">IF($C104-K$1&lt;År1,0,J103*(1-VLOOKUP($A104,[1]Hugst!$R$5:$W$9,MATCH(ROUNDUP((K$1)/10,0)*10,[1]Hugst!$R$4:$W$4,0))))</f>
        <v>848.96181340261001</v>
      </c>
      <c r="L104">
        <f ca="1">IF($C104-L$1&lt;År1,0,K103*(1-VLOOKUP($A104,[1]Hugst!$R$5:$W$9,MATCH(ROUNDUP((L$1)/10,0)*10,[1]Hugst!$R$4:$W$4,0))))</f>
        <v>850.21626171454284</v>
      </c>
      <c r="M104">
        <f ca="1">IF($C104-M$1&lt;År1,0,L103*(1-VLOOKUP($A104,[1]Hugst!$R$5:$W$9,MATCH(ROUNDUP((M$1)/10,0)*10,[1]Hugst!$R$4:$W$4,0))))</f>
        <v>851.47701378685042</v>
      </c>
      <c r="N104">
        <f ca="1">IF($C104-N$1&lt;År1,0,M103*(1-VLOOKUP($A104,[1]Hugst!$R$5:$W$9,MATCH(ROUNDUP((N$1)/10,0)*10,[1]Hugst!$R$4:$W$4,0))))</f>
        <v>852.74410129670025</v>
      </c>
      <c r="O104">
        <f ca="1">IF($C104-O$1&lt;År1,0,N103*(1-VLOOKUP($A104,[1]Hugst!$R$5:$W$9,MATCH(ROUNDUP((O$1)/10,0)*10,[1]Hugst!$R$4:$W$4,0))))</f>
        <v>854.01755608046983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242.23914910663143</v>
      </c>
      <c r="E105">
        <f t="shared" ca="1" si="2"/>
        <v>1.302738644868441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842.86848707809895</v>
      </c>
      <c r="G105">
        <f ca="1">IF($C105-G$1&lt;År1,0,F104*(1-VLOOKUP($A105,[1]Hugst!$R$5:$W$9,MATCH(ROUNDUP((G$1)/10,0)*10,[1]Hugst!$R$4:$W$4,0))))</f>
        <v>842.78303058953907</v>
      </c>
      <c r="H105">
        <f ca="1">IF($C105-H$1&lt;År1,0,G104*(1-VLOOKUP($A105,[1]Hugst!$R$5:$W$9,MATCH(ROUNDUP((H$1)/10,0)*10,[1]Hugst!$R$4:$W$4,0))))</f>
        <v>844.00642974161656</v>
      </c>
      <c r="I105">
        <f ca="1">IF($C105-I$1&lt;År1,0,H104*(1-VLOOKUP($A105,[1]Hugst!$R$5:$W$9,MATCH(ROUNDUP((I$1)/10,0)*10,[1]Hugst!$R$4:$W$4,0))))</f>
        <v>845.23597662811835</v>
      </c>
      <c r="J105">
        <f ca="1">IF($C105-J$1&lt;År1,0,I104*(1-VLOOKUP($A105,[1]Hugst!$R$5:$W$9,MATCH(ROUNDUP((J$1)/10,0)*10,[1]Hugst!$R$4:$W$4,0))))</f>
        <v>846.47170214220841</v>
      </c>
      <c r="K105">
        <f ca="1">IF($C105-K$1&lt;År1,0,J104*(1-VLOOKUP($A105,[1]Hugst!$R$5:$W$9,MATCH(ROUNDUP((K$1)/10,0)*10,[1]Hugst!$R$4:$W$4,0))))</f>
        <v>847.71363733222552</v>
      </c>
      <c r="L105">
        <f ca="1">IF($C105-L$1&lt;År1,0,K104*(1-VLOOKUP($A105,[1]Hugst!$R$5:$W$9,MATCH(ROUNDUP((L$1)/10,0)*10,[1]Hugst!$R$4:$W$4,0))))</f>
        <v>848.96181340261001</v>
      </c>
      <c r="M105">
        <f ca="1">IF($C105-M$1&lt;År1,0,L104*(1-VLOOKUP($A105,[1]Hugst!$R$5:$W$9,MATCH(ROUNDUP((M$1)/10,0)*10,[1]Hugst!$R$4:$W$4,0))))</f>
        <v>850.21626171454284</v>
      </c>
      <c r="N105">
        <f ca="1">IF($C105-N$1&lt;År1,0,M104*(1-VLOOKUP($A105,[1]Hugst!$R$5:$W$9,MATCH(ROUNDUP((N$1)/10,0)*10,[1]Hugst!$R$4:$W$4,0))))</f>
        <v>851.47701378685042</v>
      </c>
      <c r="O105">
        <f ca="1">IF($C105-O$1&lt;År1,0,N104*(1-VLOOKUP($A105,[1]Hugst!$R$5:$W$9,MATCH(ROUNDUP((O$1)/10,0)*10,[1]Hugst!$R$4:$W$4,0))))</f>
        <v>852.74410129670025</v>
      </c>
      <c r="P105">
        <f ca="1">IF($C105-P$1&lt;År1,0,O104*(1-VLOOKUP($A105,[1]Hugst!$R$5:$W$9,MATCH(ROUNDUP((P$1)/10,0)*10,[1]Hugst!$R$4:$W$4,0))))</f>
        <v>852.71481743560128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241.02795336108557</v>
      </c>
      <c r="E106">
        <f t="shared" ca="1" si="2"/>
        <v>2.6015475031526876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573.25913049386804</v>
      </c>
      <c r="G106">
        <f ca="1">IF($C106-G$1&lt;År1,0,F105*(1-VLOOKUP($A106,[1]Hugst!$R$5:$W$9,MATCH(ROUNDUP((G$1)/10,0)*10,[1]Hugst!$R$4:$W$4,0))))</f>
        <v>842.86848707809895</v>
      </c>
      <c r="H106">
        <f ca="1">IF($C106-H$1&lt;År1,0,G105*(1-VLOOKUP($A106,[1]Hugst!$R$5:$W$9,MATCH(ROUNDUP((H$1)/10,0)*10,[1]Hugst!$R$4:$W$4,0))))</f>
        <v>842.78303058953907</v>
      </c>
      <c r="I106">
        <f ca="1">IF($C106-I$1&lt;År1,0,H105*(1-VLOOKUP($A106,[1]Hugst!$R$5:$W$9,MATCH(ROUNDUP((I$1)/10,0)*10,[1]Hugst!$R$4:$W$4,0))))</f>
        <v>844.00642974161656</v>
      </c>
      <c r="J106">
        <f ca="1">IF($C106-J$1&lt;År1,0,I105*(1-VLOOKUP($A106,[1]Hugst!$R$5:$W$9,MATCH(ROUNDUP((J$1)/10,0)*10,[1]Hugst!$R$4:$W$4,0))))</f>
        <v>845.23597662811835</v>
      </c>
      <c r="K106">
        <f ca="1">IF($C106-K$1&lt;År1,0,J105*(1-VLOOKUP($A106,[1]Hugst!$R$5:$W$9,MATCH(ROUNDUP((K$1)/10,0)*10,[1]Hugst!$R$4:$W$4,0))))</f>
        <v>846.47170214220841</v>
      </c>
      <c r="L106">
        <f ca="1">IF($C106-L$1&lt;År1,0,K105*(1-VLOOKUP($A106,[1]Hugst!$R$5:$W$9,MATCH(ROUNDUP((L$1)/10,0)*10,[1]Hugst!$R$4:$W$4,0))))</f>
        <v>847.71363733222552</v>
      </c>
      <c r="M106">
        <f ca="1">IF($C106-M$1&lt;År1,0,L105*(1-VLOOKUP($A106,[1]Hugst!$R$5:$W$9,MATCH(ROUNDUP((M$1)/10,0)*10,[1]Hugst!$R$4:$W$4,0))))</f>
        <v>848.96181340261001</v>
      </c>
      <c r="N106">
        <f ca="1">IF($C106-N$1&lt;År1,0,M105*(1-VLOOKUP($A106,[1]Hugst!$R$5:$W$9,MATCH(ROUNDUP((N$1)/10,0)*10,[1]Hugst!$R$4:$W$4,0))))</f>
        <v>850.21626171454284</v>
      </c>
      <c r="O106">
        <f ca="1">IF($C106-O$1&lt;År1,0,N105*(1-VLOOKUP($A106,[1]Hugst!$R$5:$W$9,MATCH(ROUNDUP((O$1)/10,0)*10,[1]Hugst!$R$4:$W$4,0))))</f>
        <v>851.47701378685042</v>
      </c>
      <c r="P106">
        <f ca="1">IF($C106-P$1&lt;År1,0,O105*(1-VLOOKUP($A106,[1]Hugst!$R$5:$W$9,MATCH(ROUNDUP((P$1)/10,0)*10,[1]Hugst!$R$4:$W$4,0))))</f>
        <v>851.44330520997642</v>
      </c>
      <c r="Q106">
        <f ca="1">IF($C106-Q$1&lt;År1,0,P105*(1-VLOOKUP($A106,[1]Hugst!$R$5:$W$9,MATCH(ROUNDUP((Q$1)/10,0)*10,[1]Hugst!$R$4:$W$4,0))))</f>
        <v>851.41406601917402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239.82281359428907</v>
      </c>
      <c r="E107">
        <f t="shared" ca="1" si="2"/>
        <v>3.8964422822245979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573.34888550614346</v>
      </c>
      <c r="G107">
        <f ca="1">IF($C107-G$1&lt;År1,0,F106*(1-VLOOKUP($A107,[1]Hugst!$R$5:$W$9,MATCH(ROUNDUP((G$1)/10,0)*10,[1]Hugst!$R$4:$W$4,0))))</f>
        <v>573.25913049386804</v>
      </c>
      <c r="H107">
        <f ca="1">IF($C107-H$1&lt;År1,0,G106*(1-VLOOKUP($A107,[1]Hugst!$R$5:$W$9,MATCH(ROUNDUP((H$1)/10,0)*10,[1]Hugst!$R$4:$W$4,0))))</f>
        <v>842.86848707809895</v>
      </c>
      <c r="I107">
        <f ca="1">IF($C107-I$1&lt;År1,0,H106*(1-VLOOKUP($A107,[1]Hugst!$R$5:$W$9,MATCH(ROUNDUP((I$1)/10,0)*10,[1]Hugst!$R$4:$W$4,0))))</f>
        <v>842.78303058953907</v>
      </c>
      <c r="J107">
        <f ca="1">IF($C107-J$1&lt;År1,0,I106*(1-VLOOKUP($A107,[1]Hugst!$R$5:$W$9,MATCH(ROUNDUP((J$1)/10,0)*10,[1]Hugst!$R$4:$W$4,0))))</f>
        <v>844.00642974161656</v>
      </c>
      <c r="K107">
        <f ca="1">IF($C107-K$1&lt;År1,0,J106*(1-VLOOKUP($A107,[1]Hugst!$R$5:$W$9,MATCH(ROUNDUP((K$1)/10,0)*10,[1]Hugst!$R$4:$W$4,0))))</f>
        <v>845.23597662811835</v>
      </c>
      <c r="L107">
        <f ca="1">IF($C107-L$1&lt;År1,0,K106*(1-VLOOKUP($A107,[1]Hugst!$R$5:$W$9,MATCH(ROUNDUP((L$1)/10,0)*10,[1]Hugst!$R$4:$W$4,0))))</f>
        <v>846.47170214220841</v>
      </c>
      <c r="M107">
        <f ca="1">IF($C107-M$1&lt;År1,0,L106*(1-VLOOKUP($A107,[1]Hugst!$R$5:$W$9,MATCH(ROUNDUP((M$1)/10,0)*10,[1]Hugst!$R$4:$W$4,0))))</f>
        <v>847.71363733222552</v>
      </c>
      <c r="N107">
        <f ca="1">IF($C107-N$1&lt;År1,0,M106*(1-VLOOKUP($A107,[1]Hugst!$R$5:$W$9,MATCH(ROUNDUP((N$1)/10,0)*10,[1]Hugst!$R$4:$W$4,0))))</f>
        <v>848.96181340261001</v>
      </c>
      <c r="O107">
        <f ca="1">IF($C107-O$1&lt;År1,0,N106*(1-VLOOKUP($A107,[1]Hugst!$R$5:$W$9,MATCH(ROUNDUP((O$1)/10,0)*10,[1]Hugst!$R$4:$W$4,0))))</f>
        <v>850.21626171454284</v>
      </c>
      <c r="P107">
        <f ca="1">IF($C107-P$1&lt;År1,0,O106*(1-VLOOKUP($A107,[1]Hugst!$R$5:$W$9,MATCH(ROUNDUP((P$1)/10,0)*10,[1]Hugst!$R$4:$W$4,0))))</f>
        <v>850.17815054548066</v>
      </c>
      <c r="Q107">
        <f ca="1">IF($C107-Q$1&lt;År1,0,P106*(1-VLOOKUP($A107,[1]Hugst!$R$5:$W$9,MATCH(ROUNDUP((Q$1)/10,0)*10,[1]Hugst!$R$4:$W$4,0))))</f>
        <v>850.14449338846964</v>
      </c>
      <c r="R107">
        <f ca="1">IF($C107-R$1&lt;År1,0,Q106*(1-VLOOKUP($A107,[1]Hugst!$R$5:$W$9,MATCH(ROUNDUP((R$1)/10,0)*10,[1]Hugst!$R$4:$W$4,0))))</f>
        <v>850.11529879982265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238.62369952631389</v>
      </c>
      <c r="E108">
        <f t="shared" ca="1" si="2"/>
        <v>5.1874386169583886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573.44076777290206</v>
      </c>
      <c r="G108">
        <f ca="1">IF($C108-G$1&lt;År1,0,F107*(1-VLOOKUP($A108,[1]Hugst!$R$5:$W$9,MATCH(ROUNDUP((G$1)/10,0)*10,[1]Hugst!$R$4:$W$4,0))))</f>
        <v>573.34888550614346</v>
      </c>
      <c r="H108">
        <f ca="1">IF($C108-H$1&lt;År1,0,G107*(1-VLOOKUP($A108,[1]Hugst!$R$5:$W$9,MATCH(ROUNDUP((H$1)/10,0)*10,[1]Hugst!$R$4:$W$4,0))))</f>
        <v>573.25913049386804</v>
      </c>
      <c r="I108">
        <f ca="1">IF($C108-I$1&lt;År1,0,H107*(1-VLOOKUP($A108,[1]Hugst!$R$5:$W$9,MATCH(ROUNDUP((I$1)/10,0)*10,[1]Hugst!$R$4:$W$4,0))))</f>
        <v>842.86848707809895</v>
      </c>
      <c r="J108">
        <f ca="1">IF($C108-J$1&lt;År1,0,I107*(1-VLOOKUP($A108,[1]Hugst!$R$5:$W$9,MATCH(ROUNDUP((J$1)/10,0)*10,[1]Hugst!$R$4:$W$4,0))))</f>
        <v>842.78303058953907</v>
      </c>
      <c r="K108">
        <f ca="1">IF($C108-K$1&lt;År1,0,J107*(1-VLOOKUP($A108,[1]Hugst!$R$5:$W$9,MATCH(ROUNDUP((K$1)/10,0)*10,[1]Hugst!$R$4:$W$4,0))))</f>
        <v>844.00642974161656</v>
      </c>
      <c r="L108">
        <f ca="1">IF($C108-L$1&lt;År1,0,K107*(1-VLOOKUP($A108,[1]Hugst!$R$5:$W$9,MATCH(ROUNDUP((L$1)/10,0)*10,[1]Hugst!$R$4:$W$4,0))))</f>
        <v>845.23597662811835</v>
      </c>
      <c r="M108">
        <f ca="1">IF($C108-M$1&lt;År1,0,L107*(1-VLOOKUP($A108,[1]Hugst!$R$5:$W$9,MATCH(ROUNDUP((M$1)/10,0)*10,[1]Hugst!$R$4:$W$4,0))))</f>
        <v>846.47170214220841</v>
      </c>
      <c r="N108">
        <f ca="1">IF($C108-N$1&lt;År1,0,M107*(1-VLOOKUP($A108,[1]Hugst!$R$5:$W$9,MATCH(ROUNDUP((N$1)/10,0)*10,[1]Hugst!$R$4:$W$4,0))))</f>
        <v>847.71363733222552</v>
      </c>
      <c r="O108">
        <f ca="1">IF($C108-O$1&lt;År1,0,N107*(1-VLOOKUP($A108,[1]Hugst!$R$5:$W$9,MATCH(ROUNDUP((O$1)/10,0)*10,[1]Hugst!$R$4:$W$4,0))))</f>
        <v>848.96181340261001</v>
      </c>
      <c r="P108">
        <f ca="1">IF($C108-P$1&lt;År1,0,O107*(1-VLOOKUP($A108,[1]Hugst!$R$5:$W$9,MATCH(ROUNDUP((P$1)/10,0)*10,[1]Hugst!$R$4:$W$4,0))))</f>
        <v>848.91932165430023</v>
      </c>
      <c r="Q108">
        <f ca="1">IF($C108-Q$1&lt;År1,0,P107*(1-VLOOKUP($A108,[1]Hugst!$R$5:$W$9,MATCH(ROUNDUP((Q$1)/10,0)*10,[1]Hugst!$R$4:$W$4,0))))</f>
        <v>848.88126862091974</v>
      </c>
      <c r="R108">
        <f ca="1">IF($C108-R$1&lt;År1,0,Q107*(1-VLOOKUP($A108,[1]Hugst!$R$5:$W$9,MATCH(ROUNDUP((R$1)/10,0)*10,[1]Hugst!$R$4:$W$4,0))))</f>
        <v>848.84766280533461</v>
      </c>
      <c r="S108">
        <f ca="1">IF($C108-S$1&lt;År1,0,R107*(1-VLOOKUP($A108,[1]Hugst!$R$5:$W$9,MATCH(ROUNDUP((S$1)/10,0)*10,[1]Hugst!$R$4:$W$4,0))))</f>
        <v>848.81851275080589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237.43058102868372</v>
      </c>
      <c r="E109">
        <f t="shared" ca="1" si="2"/>
        <v>6.474552070018035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573.53476272833154</v>
      </c>
      <c r="G109">
        <f ca="1">IF($C109-G$1&lt;År1,0,F108*(1-VLOOKUP($A109,[1]Hugst!$R$5:$W$9,MATCH(ROUNDUP((G$1)/10,0)*10,[1]Hugst!$R$4:$W$4,0))))</f>
        <v>573.44076777290206</v>
      </c>
      <c r="H109">
        <f ca="1">IF($C109-H$1&lt;År1,0,G108*(1-VLOOKUP($A109,[1]Hugst!$R$5:$W$9,MATCH(ROUNDUP((H$1)/10,0)*10,[1]Hugst!$R$4:$W$4,0))))</f>
        <v>573.34888550614346</v>
      </c>
      <c r="I109">
        <f ca="1">IF($C109-I$1&lt;År1,0,H108*(1-VLOOKUP($A109,[1]Hugst!$R$5:$W$9,MATCH(ROUNDUP((I$1)/10,0)*10,[1]Hugst!$R$4:$W$4,0))))</f>
        <v>573.25913049386804</v>
      </c>
      <c r="J109">
        <f ca="1">IF($C109-J$1&lt;År1,0,I108*(1-VLOOKUP($A109,[1]Hugst!$R$5:$W$9,MATCH(ROUNDUP((J$1)/10,0)*10,[1]Hugst!$R$4:$W$4,0))))</f>
        <v>842.86848707809895</v>
      </c>
      <c r="K109">
        <f ca="1">IF($C109-K$1&lt;År1,0,J108*(1-VLOOKUP($A109,[1]Hugst!$R$5:$W$9,MATCH(ROUNDUP((K$1)/10,0)*10,[1]Hugst!$R$4:$W$4,0))))</f>
        <v>842.78303058953907</v>
      </c>
      <c r="L109">
        <f ca="1">IF($C109-L$1&lt;År1,0,K108*(1-VLOOKUP($A109,[1]Hugst!$R$5:$W$9,MATCH(ROUNDUP((L$1)/10,0)*10,[1]Hugst!$R$4:$W$4,0))))</f>
        <v>844.00642974161656</v>
      </c>
      <c r="M109">
        <f ca="1">IF($C109-M$1&lt;År1,0,L108*(1-VLOOKUP($A109,[1]Hugst!$R$5:$W$9,MATCH(ROUNDUP((M$1)/10,0)*10,[1]Hugst!$R$4:$W$4,0))))</f>
        <v>845.23597662811835</v>
      </c>
      <c r="N109">
        <f ca="1">IF($C109-N$1&lt;År1,0,M108*(1-VLOOKUP($A109,[1]Hugst!$R$5:$W$9,MATCH(ROUNDUP((N$1)/10,0)*10,[1]Hugst!$R$4:$W$4,0))))</f>
        <v>846.47170214220841</v>
      </c>
      <c r="O109">
        <f ca="1">IF($C109-O$1&lt;År1,0,N108*(1-VLOOKUP($A109,[1]Hugst!$R$5:$W$9,MATCH(ROUNDUP((O$1)/10,0)*10,[1]Hugst!$R$4:$W$4,0))))</f>
        <v>847.71363733222552</v>
      </c>
      <c r="P109">
        <f ca="1">IF($C109-P$1&lt;År1,0,O108*(1-VLOOKUP($A109,[1]Hugst!$R$5:$W$9,MATCH(ROUNDUP((P$1)/10,0)*10,[1]Hugst!$R$4:$W$4,0))))</f>
        <v>847.66678690758908</v>
      </c>
      <c r="Q109">
        <f ca="1">IF($C109-Q$1&lt;År1,0,P108*(1-VLOOKUP($A109,[1]Hugst!$R$5:$W$9,MATCH(ROUNDUP((Q$1)/10,0)*10,[1]Hugst!$R$4:$W$4,0))))</f>
        <v>847.62435997720047</v>
      </c>
      <c r="R109">
        <f ca="1">IF($C109-R$1&lt;År1,0,Q108*(1-VLOOKUP($A109,[1]Hugst!$R$5:$W$9,MATCH(ROUNDUP((R$1)/10,0)*10,[1]Hugst!$R$4:$W$4,0))))</f>
        <v>847.58636499082002</v>
      </c>
      <c r="S109">
        <f ca="1">IF($C109-S$1&lt;År1,0,R108*(1-VLOOKUP($A109,[1]Hugst!$R$5:$W$9,MATCH(ROUNDUP((S$1)/10,0)*10,[1]Hugst!$R$4:$W$4,0))))</f>
        <v>847.55281043834339</v>
      </c>
      <c r="T109">
        <f ca="1">IF($C109-T$1&lt;År1,0,S108*(1-VLOOKUP($A109,[1]Hugst!$R$5:$W$9,MATCH(ROUNDUP((T$1)/10,0)*10,[1]Hugst!$R$4:$W$4,0))))</f>
        <v>847.5237048499996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236.24342812354462</v>
      </c>
      <c r="E110">
        <f t="shared" ca="1" si="2"/>
        <v>7.7577981322810956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573.6308558854555</v>
      </c>
      <c r="G110">
        <f ca="1">IF($C110-G$1&lt;År1,0,F109*(1-VLOOKUP($A110,[1]Hugst!$R$5:$W$9,MATCH(ROUNDUP((G$1)/10,0)*10,[1]Hugst!$R$4:$W$4,0))))</f>
        <v>573.53476272833154</v>
      </c>
      <c r="H110">
        <f ca="1">IF($C110-H$1&lt;År1,0,G109*(1-VLOOKUP($A110,[1]Hugst!$R$5:$W$9,MATCH(ROUNDUP((H$1)/10,0)*10,[1]Hugst!$R$4:$W$4,0))))</f>
        <v>573.44076777290206</v>
      </c>
      <c r="I110">
        <f ca="1">IF($C110-I$1&lt;År1,0,H109*(1-VLOOKUP($A110,[1]Hugst!$R$5:$W$9,MATCH(ROUNDUP((I$1)/10,0)*10,[1]Hugst!$R$4:$W$4,0))))</f>
        <v>573.34888550614346</v>
      </c>
      <c r="J110">
        <f ca="1">IF($C110-J$1&lt;År1,0,I109*(1-VLOOKUP($A110,[1]Hugst!$R$5:$W$9,MATCH(ROUNDUP((J$1)/10,0)*10,[1]Hugst!$R$4:$W$4,0))))</f>
        <v>573.25913049386804</v>
      </c>
      <c r="K110">
        <f ca="1">IF($C110-K$1&lt;År1,0,J109*(1-VLOOKUP($A110,[1]Hugst!$R$5:$W$9,MATCH(ROUNDUP((K$1)/10,0)*10,[1]Hugst!$R$4:$W$4,0))))</f>
        <v>842.86848707809895</v>
      </c>
      <c r="L110">
        <f ca="1">IF($C110-L$1&lt;År1,0,K109*(1-VLOOKUP($A110,[1]Hugst!$R$5:$W$9,MATCH(ROUNDUP((L$1)/10,0)*10,[1]Hugst!$R$4:$W$4,0))))</f>
        <v>842.78303058953907</v>
      </c>
      <c r="M110">
        <f ca="1">IF($C110-M$1&lt;År1,0,L109*(1-VLOOKUP($A110,[1]Hugst!$R$5:$W$9,MATCH(ROUNDUP((M$1)/10,0)*10,[1]Hugst!$R$4:$W$4,0))))</f>
        <v>844.00642974161656</v>
      </c>
      <c r="N110">
        <f ca="1">IF($C110-N$1&lt;År1,0,M109*(1-VLOOKUP($A110,[1]Hugst!$R$5:$W$9,MATCH(ROUNDUP((N$1)/10,0)*10,[1]Hugst!$R$4:$W$4,0))))</f>
        <v>845.23597662811835</v>
      </c>
      <c r="O110">
        <f ca="1">IF($C110-O$1&lt;År1,0,N109*(1-VLOOKUP($A110,[1]Hugst!$R$5:$W$9,MATCH(ROUNDUP((O$1)/10,0)*10,[1]Hugst!$R$4:$W$4,0))))</f>
        <v>846.47170214220841</v>
      </c>
      <c r="P110">
        <f ca="1">IF($C110-P$1&lt;År1,0,O109*(1-VLOOKUP($A110,[1]Hugst!$R$5:$W$9,MATCH(ROUNDUP((P$1)/10,0)*10,[1]Hugst!$R$4:$W$4,0))))</f>
        <v>846.42051483460011</v>
      </c>
      <c r="Q110">
        <f ca="1">IF($C110-Q$1&lt;År1,0,P109*(1-VLOOKUP($A110,[1]Hugst!$R$5:$W$9,MATCH(ROUNDUP((Q$1)/10,0)*10,[1]Hugst!$R$4:$W$4,0))))</f>
        <v>846.37373587671311</v>
      </c>
      <c r="R110">
        <f ca="1">IF($C110-R$1&lt;År1,0,Q109*(1-VLOOKUP($A110,[1]Hugst!$R$5:$W$9,MATCH(ROUNDUP((R$1)/10,0)*10,[1]Hugst!$R$4:$W$4,0))))</f>
        <v>846.33137366537085</v>
      </c>
      <c r="S110">
        <f ca="1">IF($C110-S$1&lt;År1,0,R109*(1-VLOOKUP($A110,[1]Hugst!$R$5:$W$9,MATCH(ROUNDUP((S$1)/10,0)*10,[1]Hugst!$R$4:$W$4,0))))</f>
        <v>846.29343663744419</v>
      </c>
      <c r="T110">
        <f ca="1">IF($C110-T$1&lt;År1,0,S109*(1-VLOOKUP($A110,[1]Hugst!$R$5:$W$9,MATCH(ROUNDUP((T$1)/10,0)*10,[1]Hugst!$R$4:$W$4,0))))</f>
        <v>846.25993326987805</v>
      </c>
      <c r="U110">
        <f ca="1">IF($C110-U$1&lt;År1,0,T109*(1-VLOOKUP($A110,[1]Hugst!$R$5:$W$9,MATCH(ROUNDUP((U$1)/10,0)*10,[1]Hugst!$R$4:$W$4,0))))</f>
        <v>846.23087207988942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235.0622109829219</v>
      </c>
      <c r="E111">
        <f t="shared" ca="1" si="2"/>
        <v>9.0371922231461213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573.72903283569781</v>
      </c>
      <c r="G111">
        <f ca="1">IF($C111-G$1&lt;År1,0,F110*(1-VLOOKUP($A111,[1]Hugst!$R$5:$W$9,MATCH(ROUNDUP((G$1)/10,0)*10,[1]Hugst!$R$4:$W$4,0))))</f>
        <v>573.6308558854555</v>
      </c>
      <c r="H111">
        <f ca="1">IF($C111-H$1&lt;År1,0,G110*(1-VLOOKUP($A111,[1]Hugst!$R$5:$W$9,MATCH(ROUNDUP((H$1)/10,0)*10,[1]Hugst!$R$4:$W$4,0))))</f>
        <v>573.53476272833154</v>
      </c>
      <c r="I111">
        <f ca="1">IF($C111-I$1&lt;År1,0,H110*(1-VLOOKUP($A111,[1]Hugst!$R$5:$W$9,MATCH(ROUNDUP((I$1)/10,0)*10,[1]Hugst!$R$4:$W$4,0))))</f>
        <v>573.44076777290206</v>
      </c>
      <c r="J111">
        <f ca="1">IF($C111-J$1&lt;År1,0,I110*(1-VLOOKUP($A111,[1]Hugst!$R$5:$W$9,MATCH(ROUNDUP((J$1)/10,0)*10,[1]Hugst!$R$4:$W$4,0))))</f>
        <v>573.34888550614346</v>
      </c>
      <c r="K111">
        <f ca="1">IF($C111-K$1&lt;År1,0,J110*(1-VLOOKUP($A111,[1]Hugst!$R$5:$W$9,MATCH(ROUNDUP((K$1)/10,0)*10,[1]Hugst!$R$4:$W$4,0))))</f>
        <v>573.25913049386804</v>
      </c>
      <c r="L111">
        <f ca="1">IF($C111-L$1&lt;År1,0,K110*(1-VLOOKUP($A111,[1]Hugst!$R$5:$W$9,MATCH(ROUNDUP((L$1)/10,0)*10,[1]Hugst!$R$4:$W$4,0))))</f>
        <v>842.86848707809895</v>
      </c>
      <c r="M111">
        <f ca="1">IF($C111-M$1&lt;År1,0,L110*(1-VLOOKUP($A111,[1]Hugst!$R$5:$W$9,MATCH(ROUNDUP((M$1)/10,0)*10,[1]Hugst!$R$4:$W$4,0))))</f>
        <v>842.78303058953907</v>
      </c>
      <c r="N111">
        <f ca="1">IF($C111-N$1&lt;År1,0,M110*(1-VLOOKUP($A111,[1]Hugst!$R$5:$W$9,MATCH(ROUNDUP((N$1)/10,0)*10,[1]Hugst!$R$4:$W$4,0))))</f>
        <v>844.00642974161656</v>
      </c>
      <c r="O111">
        <f ca="1">IF($C111-O$1&lt;År1,0,N110*(1-VLOOKUP($A111,[1]Hugst!$R$5:$W$9,MATCH(ROUNDUP((O$1)/10,0)*10,[1]Hugst!$R$4:$W$4,0))))</f>
        <v>845.23597662811835</v>
      </c>
      <c r="P111">
        <f ca="1">IF($C111-P$1&lt;År1,0,O110*(1-VLOOKUP($A111,[1]Hugst!$R$5:$W$9,MATCH(ROUNDUP((P$1)/10,0)*10,[1]Hugst!$R$4:$W$4,0))))</f>
        <v>845.18047412199144</v>
      </c>
      <c r="Q111">
        <f ca="1">IF($C111-Q$1&lt;År1,0,P110*(1-VLOOKUP($A111,[1]Hugst!$R$5:$W$9,MATCH(ROUNDUP((Q$1)/10,0)*10,[1]Hugst!$R$4:$W$4,0))))</f>
        <v>845.12936489671677</v>
      </c>
      <c r="R111">
        <f ca="1">IF($C111-R$1&lt;År1,0,Q110*(1-VLOOKUP($A111,[1]Hugst!$R$5:$W$9,MATCH(ROUNDUP((R$1)/10,0)*10,[1]Hugst!$R$4:$W$4,0))))</f>
        <v>845.08265729656216</v>
      </c>
      <c r="S111">
        <f ca="1">IF($C111-S$1&lt;År1,0,R110*(1-VLOOKUP($A111,[1]Hugst!$R$5:$W$9,MATCH(ROUNDUP((S$1)/10,0)*10,[1]Hugst!$R$4:$W$4,0))))</f>
        <v>845.0403597055423</v>
      </c>
      <c r="T111">
        <f ca="1">IF($C111-T$1&lt;År1,0,S110*(1-VLOOKUP($A111,[1]Hugst!$R$5:$W$9,MATCH(ROUNDUP((T$1)/10,0)*10,[1]Hugst!$R$4:$W$4,0))))</f>
        <v>845.00248054765825</v>
      </c>
      <c r="U111">
        <f ca="1">IF($C111-U$1&lt;År1,0,T110*(1-VLOOKUP($A111,[1]Hugst!$R$5:$W$9,MATCH(ROUNDUP((U$1)/10,0)*10,[1]Hugst!$R$4:$W$4,0))))</f>
        <v>844.96902828692396</v>
      </c>
      <c r="V111">
        <f ca="1">IF($C111-V$1&lt;År1,0,U110*(1-VLOOKUP($A111,[1]Hugst!$R$5:$W$9,MATCH(ROUNDUP((V$1)/10,0)*10,[1]Hugst!$R$4:$W$4,0))))</f>
        <v>844.94001142756417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233.88689992800937</v>
      </c>
      <c r="E112">
        <f t="shared" ca="1" si="2"/>
        <v>10.312749690878263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573.82927924851742</v>
      </c>
      <c r="G112">
        <f ca="1">IF($C112-G$1&lt;År1,0,F111*(1-VLOOKUP($A112,[1]Hugst!$R$5:$W$9,MATCH(ROUNDUP((G$1)/10,0)*10,[1]Hugst!$R$4:$W$4,0))))</f>
        <v>573.72903283569781</v>
      </c>
      <c r="H112">
        <f ca="1">IF($C112-H$1&lt;År1,0,G111*(1-VLOOKUP($A112,[1]Hugst!$R$5:$W$9,MATCH(ROUNDUP((H$1)/10,0)*10,[1]Hugst!$R$4:$W$4,0))))</f>
        <v>573.6308558854555</v>
      </c>
      <c r="I112">
        <f ca="1">IF($C112-I$1&lt;År1,0,H111*(1-VLOOKUP($A112,[1]Hugst!$R$5:$W$9,MATCH(ROUNDUP((I$1)/10,0)*10,[1]Hugst!$R$4:$W$4,0))))</f>
        <v>573.53476272833154</v>
      </c>
      <c r="J112">
        <f ca="1">IF($C112-J$1&lt;År1,0,I111*(1-VLOOKUP($A112,[1]Hugst!$R$5:$W$9,MATCH(ROUNDUP((J$1)/10,0)*10,[1]Hugst!$R$4:$W$4,0))))</f>
        <v>573.44076777290206</v>
      </c>
      <c r="K112">
        <f ca="1">IF($C112-K$1&lt;År1,0,J111*(1-VLOOKUP($A112,[1]Hugst!$R$5:$W$9,MATCH(ROUNDUP((K$1)/10,0)*10,[1]Hugst!$R$4:$W$4,0))))</f>
        <v>573.34888550614346</v>
      </c>
      <c r="L112">
        <f ca="1">IF($C112-L$1&lt;År1,0,K111*(1-VLOOKUP($A112,[1]Hugst!$R$5:$W$9,MATCH(ROUNDUP((L$1)/10,0)*10,[1]Hugst!$R$4:$W$4,0))))</f>
        <v>573.25913049386804</v>
      </c>
      <c r="M112">
        <f ca="1">IF($C112-M$1&lt;År1,0,L111*(1-VLOOKUP($A112,[1]Hugst!$R$5:$W$9,MATCH(ROUNDUP((M$1)/10,0)*10,[1]Hugst!$R$4:$W$4,0))))</f>
        <v>842.86848707809895</v>
      </c>
      <c r="N112">
        <f ca="1">IF($C112-N$1&lt;År1,0,M111*(1-VLOOKUP($A112,[1]Hugst!$R$5:$W$9,MATCH(ROUNDUP((N$1)/10,0)*10,[1]Hugst!$R$4:$W$4,0))))</f>
        <v>842.78303058953907</v>
      </c>
      <c r="O112">
        <f ca="1">IF($C112-O$1&lt;År1,0,N111*(1-VLOOKUP($A112,[1]Hugst!$R$5:$W$9,MATCH(ROUNDUP((O$1)/10,0)*10,[1]Hugst!$R$4:$W$4,0))))</f>
        <v>844.00642974161656</v>
      </c>
      <c r="P112">
        <f ca="1">IF($C112-P$1&lt;År1,0,O111*(1-VLOOKUP($A112,[1]Hugst!$R$5:$W$9,MATCH(ROUNDUP((P$1)/10,0)*10,[1]Hugst!$R$4:$W$4,0))))</f>
        <v>843.94663361292294</v>
      </c>
      <c r="Q112">
        <f ca="1">IF($C112-Q$1&lt;År1,0,P111*(1-VLOOKUP($A112,[1]Hugst!$R$5:$W$9,MATCH(ROUNDUP((Q$1)/10,0)*10,[1]Hugst!$R$4:$W$4,0))))</f>
        <v>843.89121577163587</v>
      </c>
      <c r="R112">
        <f ca="1">IF($C112-R$1&lt;År1,0,Q111*(1-VLOOKUP($A112,[1]Hugst!$R$5:$W$9,MATCH(ROUNDUP((R$1)/10,0)*10,[1]Hugst!$R$4:$W$4,0))))</f>
        <v>843.84018450958615</v>
      </c>
      <c r="S112">
        <f ca="1">IF($C112-S$1&lt;År1,0,R111*(1-VLOOKUP($A112,[1]Hugst!$R$5:$W$9,MATCH(ROUNDUP((S$1)/10,0)*10,[1]Hugst!$R$4:$W$4,0))))</f>
        <v>843.79354815831311</v>
      </c>
      <c r="T112">
        <f ca="1">IF($C112-T$1&lt;År1,0,S111*(1-VLOOKUP($A112,[1]Hugst!$R$5:$W$9,MATCH(ROUNDUP((T$1)/10,0)*10,[1]Hugst!$R$4:$W$4,0))))</f>
        <v>843.75131508904235</v>
      </c>
      <c r="U112">
        <f ca="1">IF($C112-U$1&lt;År1,0,T111*(1-VLOOKUP($A112,[1]Hugst!$R$5:$W$9,MATCH(ROUNDUP((U$1)/10,0)*10,[1]Hugst!$R$4:$W$4,0))))</f>
        <v>843.71349371292456</v>
      </c>
      <c r="V112">
        <f ca="1">IF($C112-V$1&lt;År1,0,U111*(1-VLOOKUP($A112,[1]Hugst!$R$5:$W$9,MATCH(ROUNDUP((V$1)/10,0)*10,[1]Hugst!$R$4:$W$4,0))))</f>
        <v>843.6800924810625</v>
      </c>
      <c r="W112">
        <f ca="1">IF($C112-W$1&lt;År1,0,V111*(1-VLOOKUP($A112,[1]Hugst!$R$5:$W$9,MATCH(ROUNDUP((W$1)/10,0)*10,[1]Hugst!$R$4:$W$4,0))))</f>
        <v>843.65111988470858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232.71746542837354</v>
      </c>
      <c r="E113">
        <f t="shared" ca="1" si="2"/>
        <v>11.584485812996718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573.93158087100005</v>
      </c>
      <c r="G113">
        <f ca="1">IF($C113-G$1&lt;År1,0,F112*(1-VLOOKUP($A113,[1]Hugst!$R$5:$W$9,MATCH(ROUNDUP((G$1)/10,0)*10,[1]Hugst!$R$4:$W$4,0))))</f>
        <v>573.82927924851742</v>
      </c>
      <c r="H113">
        <f ca="1">IF($C113-H$1&lt;År1,0,G112*(1-VLOOKUP($A113,[1]Hugst!$R$5:$W$9,MATCH(ROUNDUP((H$1)/10,0)*10,[1]Hugst!$R$4:$W$4,0))))</f>
        <v>573.72903283569781</v>
      </c>
      <c r="I113">
        <f ca="1">IF($C113-I$1&lt;År1,0,H112*(1-VLOOKUP($A113,[1]Hugst!$R$5:$W$9,MATCH(ROUNDUP((I$1)/10,0)*10,[1]Hugst!$R$4:$W$4,0))))</f>
        <v>573.6308558854555</v>
      </c>
      <c r="J113">
        <f ca="1">IF($C113-J$1&lt;År1,0,I112*(1-VLOOKUP($A113,[1]Hugst!$R$5:$W$9,MATCH(ROUNDUP((J$1)/10,0)*10,[1]Hugst!$R$4:$W$4,0))))</f>
        <v>573.53476272833154</v>
      </c>
      <c r="K113">
        <f ca="1">IF($C113-K$1&lt;År1,0,J112*(1-VLOOKUP($A113,[1]Hugst!$R$5:$W$9,MATCH(ROUNDUP((K$1)/10,0)*10,[1]Hugst!$R$4:$W$4,0))))</f>
        <v>573.44076777290206</v>
      </c>
      <c r="L113">
        <f ca="1">IF($C113-L$1&lt;År1,0,K112*(1-VLOOKUP($A113,[1]Hugst!$R$5:$W$9,MATCH(ROUNDUP((L$1)/10,0)*10,[1]Hugst!$R$4:$W$4,0))))</f>
        <v>573.34888550614346</v>
      </c>
      <c r="M113">
        <f ca="1">IF($C113-M$1&lt;År1,0,L112*(1-VLOOKUP($A113,[1]Hugst!$R$5:$W$9,MATCH(ROUNDUP((M$1)/10,0)*10,[1]Hugst!$R$4:$W$4,0))))</f>
        <v>573.25913049386804</v>
      </c>
      <c r="N113">
        <f ca="1">IF($C113-N$1&lt;År1,0,M112*(1-VLOOKUP($A113,[1]Hugst!$R$5:$W$9,MATCH(ROUNDUP((N$1)/10,0)*10,[1]Hugst!$R$4:$W$4,0))))</f>
        <v>842.86848707809895</v>
      </c>
      <c r="O113">
        <f ca="1">IF($C113-O$1&lt;År1,0,N112*(1-VLOOKUP($A113,[1]Hugst!$R$5:$W$9,MATCH(ROUNDUP((O$1)/10,0)*10,[1]Hugst!$R$4:$W$4,0))))</f>
        <v>842.78303058953907</v>
      </c>
      <c r="P113">
        <f ca="1">IF($C113-P$1&lt;År1,0,O112*(1-VLOOKUP($A113,[1]Hugst!$R$5:$W$9,MATCH(ROUNDUP((P$1)/10,0)*10,[1]Hugst!$R$4:$W$4,0))))</f>
        <v>842.71896230641744</v>
      </c>
      <c r="Q113">
        <f ca="1">IF($C113-Q$1&lt;År1,0,P112*(1-VLOOKUP($A113,[1]Hugst!$R$5:$W$9,MATCH(ROUNDUP((Q$1)/10,0)*10,[1]Hugst!$R$4:$W$4,0))))</f>
        <v>842.65925739215743</v>
      </c>
      <c r="R113">
        <f ca="1">IF($C113-R$1&lt;År1,0,Q112*(1-VLOOKUP($A113,[1]Hugst!$R$5:$W$9,MATCH(ROUNDUP((R$1)/10,0)*10,[1]Hugst!$R$4:$W$4,0))))</f>
        <v>842.60392408656048</v>
      </c>
      <c r="S113">
        <f ca="1">IF($C113-S$1&lt;År1,0,R112*(1-VLOOKUP($A113,[1]Hugst!$R$5:$W$9,MATCH(ROUNDUP((S$1)/10,0)*10,[1]Hugst!$R$4:$W$4,0))))</f>
        <v>842.55297066880883</v>
      </c>
      <c r="T113">
        <f ca="1">IF($C113-T$1&lt;År1,0,S112*(1-VLOOKUP($A113,[1]Hugst!$R$5:$W$9,MATCH(ROUNDUP((T$1)/10,0)*10,[1]Hugst!$R$4:$W$4,0))))</f>
        <v>842.50640545773263</v>
      </c>
      <c r="U113">
        <f ca="1">IF($C113-U$1&lt;År1,0,T112*(1-VLOOKUP($A113,[1]Hugst!$R$5:$W$9,MATCH(ROUNDUP((U$1)/10,0)*10,[1]Hugst!$R$4:$W$4,0))))</f>
        <v>842.46423681178783</v>
      </c>
      <c r="V113">
        <f ca="1">IF($C113-V$1&lt;År1,0,U112*(1-VLOOKUP($A113,[1]Hugst!$R$5:$W$9,MATCH(ROUNDUP((V$1)/10,0)*10,[1]Hugst!$R$4:$W$4,0))))</f>
        <v>842.42647312929466</v>
      </c>
      <c r="W113">
        <f ca="1">IF($C113-W$1&lt;År1,0,V112*(1-VLOOKUP($A113,[1]Hugst!$R$5:$W$9,MATCH(ROUNDUP((W$1)/10,0)*10,[1]Hugst!$R$4:$W$4,0))))</f>
        <v>842.39312284846426</v>
      </c>
      <c r="X113">
        <f ca="1">IF($C113-X$1&lt;År1,0,W112*(1-VLOOKUP($A113,[1]Hugst!$R$5:$W$9,MATCH(ROUNDUP((X$1)/10,0)*10,[1]Hugst!$R$4:$W$4,0))))</f>
        <v>842.36419444759633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231.55387810122284</v>
      </c>
      <c r="E114">
        <f t="shared" ca="1" si="2"/>
        <v>12.852415796549394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574.03592352740202</v>
      </c>
      <c r="G114">
        <f ca="1">IF($C114-G$1&lt;År1,0,F113*(1-VLOOKUP($A114,[1]Hugst!$R$5:$W$9,MATCH(ROUNDUP((G$1)/10,0)*10,[1]Hugst!$R$4:$W$4,0))))</f>
        <v>573.93158087100005</v>
      </c>
      <c r="H114">
        <f ca="1">IF($C114-H$1&lt;År1,0,G113*(1-VLOOKUP($A114,[1]Hugst!$R$5:$W$9,MATCH(ROUNDUP((H$1)/10,0)*10,[1]Hugst!$R$4:$W$4,0))))</f>
        <v>573.82927924851742</v>
      </c>
      <c r="I114">
        <f ca="1">IF($C114-I$1&lt;År1,0,H113*(1-VLOOKUP($A114,[1]Hugst!$R$5:$W$9,MATCH(ROUNDUP((I$1)/10,0)*10,[1]Hugst!$R$4:$W$4,0))))</f>
        <v>573.72903283569781</v>
      </c>
      <c r="J114">
        <f ca="1">IF($C114-J$1&lt;År1,0,I113*(1-VLOOKUP($A114,[1]Hugst!$R$5:$W$9,MATCH(ROUNDUP((J$1)/10,0)*10,[1]Hugst!$R$4:$W$4,0))))</f>
        <v>573.6308558854555</v>
      </c>
      <c r="K114">
        <f ca="1">IF($C114-K$1&lt;År1,0,J113*(1-VLOOKUP($A114,[1]Hugst!$R$5:$W$9,MATCH(ROUNDUP((K$1)/10,0)*10,[1]Hugst!$R$4:$W$4,0))))</f>
        <v>573.53476272833154</v>
      </c>
      <c r="L114">
        <f ca="1">IF($C114-L$1&lt;År1,0,K113*(1-VLOOKUP($A114,[1]Hugst!$R$5:$W$9,MATCH(ROUNDUP((L$1)/10,0)*10,[1]Hugst!$R$4:$W$4,0))))</f>
        <v>573.44076777290206</v>
      </c>
      <c r="M114">
        <f ca="1">IF($C114-M$1&lt;År1,0,L113*(1-VLOOKUP($A114,[1]Hugst!$R$5:$W$9,MATCH(ROUNDUP((M$1)/10,0)*10,[1]Hugst!$R$4:$W$4,0))))</f>
        <v>573.34888550614346</v>
      </c>
      <c r="N114">
        <f ca="1">IF($C114-N$1&lt;År1,0,M113*(1-VLOOKUP($A114,[1]Hugst!$R$5:$W$9,MATCH(ROUNDUP((N$1)/10,0)*10,[1]Hugst!$R$4:$W$4,0))))</f>
        <v>573.25913049386804</v>
      </c>
      <c r="O114">
        <f ca="1">IF($C114-O$1&lt;År1,0,N113*(1-VLOOKUP($A114,[1]Hugst!$R$5:$W$9,MATCH(ROUNDUP((O$1)/10,0)*10,[1]Hugst!$R$4:$W$4,0))))</f>
        <v>842.86848707809895</v>
      </c>
      <c r="P114">
        <f ca="1">IF($C114-P$1&lt;År1,0,O113*(1-VLOOKUP($A114,[1]Hugst!$R$5:$W$9,MATCH(ROUNDUP((P$1)/10,0)*10,[1]Hugst!$R$4:$W$4,0))))</f>
        <v>841.49742935643633</v>
      </c>
      <c r="Q114">
        <f ca="1">IF($C114-Q$1&lt;År1,0,P113*(1-VLOOKUP($A114,[1]Hugst!$R$5:$W$9,MATCH(ROUNDUP((Q$1)/10,0)*10,[1]Hugst!$R$4:$W$4,0))))</f>
        <v>841.43345880459401</v>
      </c>
      <c r="R114">
        <f ca="1">IF($C114-R$1&lt;År1,0,Q113*(1-VLOOKUP($A114,[1]Hugst!$R$5:$W$9,MATCH(ROUNDUP((R$1)/10,0)*10,[1]Hugst!$R$4:$W$4,0))))</f>
        <v>841.37384496562697</v>
      </c>
      <c r="S114">
        <f ca="1">IF($C114-S$1&lt;År1,0,R113*(1-VLOOKUP($A114,[1]Hugst!$R$5:$W$9,MATCH(ROUNDUP((S$1)/10,0)*10,[1]Hugst!$R$4:$W$4,0))))</f>
        <v>841.31859606676744</v>
      </c>
      <c r="T114">
        <f ca="1">IF($C114-T$1&lt;År1,0,S113*(1-VLOOKUP($A114,[1]Hugst!$R$5:$W$9,MATCH(ROUNDUP((T$1)/10,0)*10,[1]Hugst!$R$4:$W$4,0))))</f>
        <v>841.26772037456828</v>
      </c>
      <c r="U114">
        <f ca="1">IF($C114-U$1&lt;År1,0,T113*(1-VLOOKUP($A114,[1]Hugst!$R$5:$W$9,MATCH(ROUNDUP((U$1)/10,0)*10,[1]Hugst!$R$4:$W$4,0))))</f>
        <v>841.22122619516995</v>
      </c>
      <c r="V114">
        <f ca="1">IF($C114-V$1&lt;År1,0,U113*(1-VLOOKUP($A114,[1]Hugst!$R$5:$W$9,MATCH(ROUNDUP((V$1)/10,0)*10,[1]Hugst!$R$4:$W$4,0))))</f>
        <v>841.17912187427828</v>
      </c>
      <c r="W114">
        <f ca="1">IF($C114-W$1&lt;År1,0,V113*(1-VLOOKUP($A114,[1]Hugst!$R$5:$W$9,MATCH(ROUNDUP((W$1)/10,0)*10,[1]Hugst!$R$4:$W$4,0))))</f>
        <v>841.14141579740249</v>
      </c>
      <c r="X114">
        <f ca="1">IF($C114-X$1&lt;År1,0,W113*(1-VLOOKUP($A114,[1]Hugst!$R$5:$W$9,MATCH(ROUNDUP((X$1)/10,0)*10,[1]Hugst!$R$4:$W$4,0))))</f>
        <v>841.10811638988184</v>
      </c>
      <c r="Y114">
        <f ca="1">IF($C114-Y$1&lt;År1,0,X113*(1-VLOOKUP($A114,[1]Hugst!$R$5:$W$9,MATCH(ROUNDUP((Y$1)/10,0)*10,[1]Hugst!$R$4:$W$4,0))))</f>
        <v>841.07923211708305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230.39610871072</v>
      </c>
      <c r="E115">
        <f t="shared" ca="1" si="2"/>
        <v>14.296736759544729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574.32247509989452</v>
      </c>
      <c r="G115">
        <f ca="1">IF($C115-G$1&lt;År1,0,F114*(1-VLOOKUP($A115,[1]Hugst!$R$5:$W$9,MATCH(ROUNDUP((G$1)/10,0)*10,[1]Hugst!$R$4:$W$4,0))))</f>
        <v>574.03592352740202</v>
      </c>
      <c r="H115">
        <f ca="1">IF($C115-H$1&lt;År1,0,G114*(1-VLOOKUP($A115,[1]Hugst!$R$5:$W$9,MATCH(ROUNDUP((H$1)/10,0)*10,[1]Hugst!$R$4:$W$4,0))))</f>
        <v>573.93158087100005</v>
      </c>
      <c r="I115">
        <f ca="1">IF($C115-I$1&lt;År1,0,H114*(1-VLOOKUP($A115,[1]Hugst!$R$5:$W$9,MATCH(ROUNDUP((I$1)/10,0)*10,[1]Hugst!$R$4:$W$4,0))))</f>
        <v>573.82927924851742</v>
      </c>
      <c r="J115">
        <f ca="1">IF($C115-J$1&lt;År1,0,I114*(1-VLOOKUP($A115,[1]Hugst!$R$5:$W$9,MATCH(ROUNDUP((J$1)/10,0)*10,[1]Hugst!$R$4:$W$4,0))))</f>
        <v>573.72903283569781</v>
      </c>
      <c r="K115">
        <f ca="1">IF($C115-K$1&lt;År1,0,J114*(1-VLOOKUP($A115,[1]Hugst!$R$5:$W$9,MATCH(ROUNDUP((K$1)/10,0)*10,[1]Hugst!$R$4:$W$4,0))))</f>
        <v>573.6308558854555</v>
      </c>
      <c r="L115">
        <f ca="1">IF($C115-L$1&lt;År1,0,K114*(1-VLOOKUP($A115,[1]Hugst!$R$5:$W$9,MATCH(ROUNDUP((L$1)/10,0)*10,[1]Hugst!$R$4:$W$4,0))))</f>
        <v>573.53476272833154</v>
      </c>
      <c r="M115">
        <f ca="1">IF($C115-M$1&lt;År1,0,L114*(1-VLOOKUP($A115,[1]Hugst!$R$5:$W$9,MATCH(ROUNDUP((M$1)/10,0)*10,[1]Hugst!$R$4:$W$4,0))))</f>
        <v>573.44076777290206</v>
      </c>
      <c r="N115">
        <f ca="1">IF($C115-N$1&lt;År1,0,M114*(1-VLOOKUP($A115,[1]Hugst!$R$5:$W$9,MATCH(ROUNDUP((N$1)/10,0)*10,[1]Hugst!$R$4:$W$4,0))))</f>
        <v>573.34888550614346</v>
      </c>
      <c r="O115">
        <f ca="1">IF($C115-O$1&lt;År1,0,N114*(1-VLOOKUP($A115,[1]Hugst!$R$5:$W$9,MATCH(ROUNDUP((O$1)/10,0)*10,[1]Hugst!$R$4:$W$4,0))))</f>
        <v>573.25913049386804</v>
      </c>
      <c r="P115">
        <f ca="1">IF($C115-P$1&lt;År1,0,O114*(1-VLOOKUP($A115,[1]Hugst!$R$5:$W$9,MATCH(ROUNDUP((P$1)/10,0)*10,[1]Hugst!$R$4:$W$4,0))))</f>
        <v>841.58275548764084</v>
      </c>
      <c r="Q115">
        <f ca="1">IF($C115-Q$1&lt;År1,0,P114*(1-VLOOKUP($A115,[1]Hugst!$R$5:$W$9,MATCH(ROUNDUP((Q$1)/10,0)*10,[1]Hugst!$R$4:$W$4,0))))</f>
        <v>840.2137892099604</v>
      </c>
      <c r="R115">
        <f ca="1">IF($C115-R$1&lt;År1,0,Q114*(1-VLOOKUP($A115,[1]Hugst!$R$5:$W$9,MATCH(ROUNDUP((R$1)/10,0)*10,[1]Hugst!$R$4:$W$4,0))))</f>
        <v>840.14991624031575</v>
      </c>
      <c r="S115">
        <f ca="1">IF($C115-S$1&lt;År1,0,R114*(1-VLOOKUP($A115,[1]Hugst!$R$5:$W$9,MATCH(ROUNDUP((S$1)/10,0)*10,[1]Hugst!$R$4:$W$4,0))))</f>
        <v>840.09039333771329</v>
      </c>
      <c r="T115">
        <f ca="1">IF($C115-T$1&lt;År1,0,S114*(1-VLOOKUP($A115,[1]Hugst!$R$5:$W$9,MATCH(ROUNDUP((T$1)/10,0)*10,[1]Hugst!$R$4:$W$4,0))))</f>
        <v>840.03522871683504</v>
      </c>
      <c r="U115">
        <f ca="1">IF($C115-U$1&lt;År1,0,T114*(1-VLOOKUP($A115,[1]Hugst!$R$5:$W$9,MATCH(ROUNDUP((U$1)/10,0)*10,[1]Hugst!$R$4:$W$4,0))))</f>
        <v>839.98443063162404</v>
      </c>
      <c r="V115">
        <f ca="1">IF($C115-V$1&lt;År1,0,U114*(1-VLOOKUP($A115,[1]Hugst!$R$5:$W$9,MATCH(ROUNDUP((V$1)/10,0)*10,[1]Hugst!$R$4:$W$4,0))))</f>
        <v>839.93800737555011</v>
      </c>
      <c r="W115">
        <f ca="1">IF($C115-W$1&lt;År1,0,V114*(1-VLOOKUP($A115,[1]Hugst!$R$5:$W$9,MATCH(ROUNDUP((W$1)/10,0)*10,[1]Hugst!$R$4:$W$4,0))))</f>
        <v>839.8959672815887</v>
      </c>
      <c r="X115">
        <f ca="1">IF($C115-X$1&lt;År1,0,W114*(1-VLOOKUP($A115,[1]Hugst!$R$5:$W$9,MATCH(ROUNDUP((X$1)/10,0)*10,[1]Hugst!$R$4:$W$4,0))))</f>
        <v>839.85831872245728</v>
      </c>
      <c r="Y115">
        <f ca="1">IF($C115-Y$1&lt;År1,0,X114*(1-VLOOKUP($A115,[1]Hugst!$R$5:$W$9,MATCH(ROUNDUP((Y$1)/10,0)*10,[1]Hugst!$R$4:$W$4,0))))</f>
        <v>839.82507011064297</v>
      </c>
      <c r="Z115">
        <f ca="1">IF($C115-Z$1&lt;År1,0,Y114*(1-VLOOKUP($A115,[1]Hugst!$R$5:$W$9,MATCH(ROUNDUP((Z$1)/10,0)*10,[1]Hugst!$R$4:$W$4,0))))</f>
        <v>839.61803514603218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229.24412816716904</v>
      </c>
      <c r="E116">
        <f t="shared" ca="1" si="2"/>
        <v>15.327010723114654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574.20076851991348</v>
      </c>
      <c r="G116">
        <f ca="1">IF($C116-G$1&lt;År1,0,F115*(1-VLOOKUP($A116,[1]Hugst!$R$5:$W$9,MATCH(ROUNDUP((G$1)/10,0)*10,[1]Hugst!$R$4:$W$4,0))))</f>
        <v>574.32247509989452</v>
      </c>
      <c r="H116">
        <f ca="1">IF($C116-H$1&lt;År1,0,G115*(1-VLOOKUP($A116,[1]Hugst!$R$5:$W$9,MATCH(ROUNDUP((H$1)/10,0)*10,[1]Hugst!$R$4:$W$4,0))))</f>
        <v>574.03592352740202</v>
      </c>
      <c r="I116">
        <f ca="1">IF($C116-I$1&lt;År1,0,H115*(1-VLOOKUP($A116,[1]Hugst!$R$5:$W$9,MATCH(ROUNDUP((I$1)/10,0)*10,[1]Hugst!$R$4:$W$4,0))))</f>
        <v>573.93158087100005</v>
      </c>
      <c r="J116">
        <f ca="1">IF($C116-J$1&lt;År1,0,I115*(1-VLOOKUP($A116,[1]Hugst!$R$5:$W$9,MATCH(ROUNDUP((J$1)/10,0)*10,[1]Hugst!$R$4:$W$4,0))))</f>
        <v>573.82927924851742</v>
      </c>
      <c r="K116">
        <f ca="1">IF($C116-K$1&lt;År1,0,J115*(1-VLOOKUP($A116,[1]Hugst!$R$5:$W$9,MATCH(ROUNDUP((K$1)/10,0)*10,[1]Hugst!$R$4:$W$4,0))))</f>
        <v>573.72903283569781</v>
      </c>
      <c r="L116">
        <f ca="1">IF($C116-L$1&lt;År1,0,K115*(1-VLOOKUP($A116,[1]Hugst!$R$5:$W$9,MATCH(ROUNDUP((L$1)/10,0)*10,[1]Hugst!$R$4:$W$4,0))))</f>
        <v>573.6308558854555</v>
      </c>
      <c r="M116">
        <f ca="1">IF($C116-M$1&lt;År1,0,L115*(1-VLOOKUP($A116,[1]Hugst!$R$5:$W$9,MATCH(ROUNDUP((M$1)/10,0)*10,[1]Hugst!$R$4:$W$4,0))))</f>
        <v>573.53476272833154</v>
      </c>
      <c r="N116">
        <f ca="1">IF($C116-N$1&lt;År1,0,M115*(1-VLOOKUP($A116,[1]Hugst!$R$5:$W$9,MATCH(ROUNDUP((N$1)/10,0)*10,[1]Hugst!$R$4:$W$4,0))))</f>
        <v>573.44076777290206</v>
      </c>
      <c r="O116">
        <f ca="1">IF($C116-O$1&lt;År1,0,N115*(1-VLOOKUP($A116,[1]Hugst!$R$5:$W$9,MATCH(ROUNDUP((O$1)/10,0)*10,[1]Hugst!$R$4:$W$4,0))))</f>
        <v>573.34888550614346</v>
      </c>
      <c r="P116">
        <f ca="1">IF($C116-P$1&lt;År1,0,O115*(1-VLOOKUP($A116,[1]Hugst!$R$5:$W$9,MATCH(ROUNDUP((P$1)/10,0)*10,[1]Hugst!$R$4:$W$4,0))))</f>
        <v>572.3846674134536</v>
      </c>
      <c r="Q116">
        <f ca="1">IF($C116-Q$1&lt;År1,0,P115*(1-VLOOKUP($A116,[1]Hugst!$R$5:$W$9,MATCH(ROUNDUP((Q$1)/10,0)*10,[1]Hugst!$R$4:$W$4,0))))</f>
        <v>840.29898518265964</v>
      </c>
      <c r="R116">
        <f ca="1">IF($C116-R$1&lt;År1,0,Q115*(1-VLOOKUP($A116,[1]Hugst!$R$5:$W$9,MATCH(ROUNDUP((R$1)/10,0)*10,[1]Hugst!$R$4:$W$4,0))))</f>
        <v>838.93210715862313</v>
      </c>
      <c r="S116">
        <f ca="1">IF($C116-S$1&lt;År1,0,R115*(1-VLOOKUP($A116,[1]Hugst!$R$5:$W$9,MATCH(ROUNDUP((S$1)/10,0)*10,[1]Hugst!$R$4:$W$4,0))))</f>
        <v>838.86833162232199</v>
      </c>
      <c r="T116">
        <f ca="1">IF($C116-T$1&lt;År1,0,S115*(1-VLOOKUP($A116,[1]Hugst!$R$5:$W$9,MATCH(ROUNDUP((T$1)/10,0)*10,[1]Hugst!$R$4:$W$4,0))))</f>
        <v>838.80889951736765</v>
      </c>
      <c r="U116">
        <f ca="1">IF($C116-U$1&lt;År1,0,T115*(1-VLOOKUP($A116,[1]Hugst!$R$5:$W$9,MATCH(ROUNDUP((U$1)/10,0)*10,[1]Hugst!$R$4:$W$4,0))))</f>
        <v>838.75381904591097</v>
      </c>
      <c r="V116">
        <f ca="1">IF($C116-V$1&lt;År1,0,U115*(1-VLOOKUP($A116,[1]Hugst!$R$5:$W$9,MATCH(ROUNDUP((V$1)/10,0)*10,[1]Hugst!$R$4:$W$4,0))))</f>
        <v>838.70309844930455</v>
      </c>
      <c r="W116">
        <f ca="1">IF($C116-W$1&lt;År1,0,V115*(1-VLOOKUP($A116,[1]Hugst!$R$5:$W$9,MATCH(ROUNDUP((W$1)/10,0)*10,[1]Hugst!$R$4:$W$4,0))))</f>
        <v>838.65674600836701</v>
      </c>
      <c r="X116">
        <f ca="1">IF($C116-X$1&lt;År1,0,W115*(1-VLOOKUP($A116,[1]Hugst!$R$5:$W$9,MATCH(ROUNDUP((X$1)/10,0)*10,[1]Hugst!$R$4:$W$4,0))))</f>
        <v>838.61477004336257</v>
      </c>
      <c r="Y116">
        <f ca="1">IF($C116-Y$1&lt;År1,0,X115*(1-VLOOKUP($A116,[1]Hugst!$R$5:$W$9,MATCH(ROUNDUP((Y$1)/10,0)*10,[1]Hugst!$R$4:$W$4,0))))</f>
        <v>838.57717891423658</v>
      </c>
      <c r="Z116">
        <f ca="1">IF($C116-Z$1&lt;År1,0,Y115*(1-VLOOKUP($A116,[1]Hugst!$R$5:$W$9,MATCH(ROUNDUP((Z$1)/10,0)*10,[1]Hugst!$R$4:$W$4,0))))</f>
        <v>838.36605198036602</v>
      </c>
      <c r="AA116">
        <f ca="1">IF($C116-AA$1&lt;År1,0,Z115*(1-VLOOKUP($A116,[1]Hugst!$R$5:$W$9,MATCH(ROUNDUP((AA$1)/10,0)*10,[1]Hugst!$R$4:$W$4,0))))</f>
        <v>838.1593766951429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228.09790752633126</v>
      </c>
      <c r="E117">
        <f t="shared" ca="1" si="2"/>
        <v>16.355277036831467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574.08281419279251</v>
      </c>
      <c r="G117">
        <f ca="1">IF($C117-G$1&lt;År1,0,F116*(1-VLOOKUP($A117,[1]Hugst!$R$5:$W$9,MATCH(ROUNDUP((G$1)/10,0)*10,[1]Hugst!$R$4:$W$4,0))))</f>
        <v>574.20076851991348</v>
      </c>
      <c r="H117">
        <f ca="1">IF($C117-H$1&lt;År1,0,G116*(1-VLOOKUP($A117,[1]Hugst!$R$5:$W$9,MATCH(ROUNDUP((H$1)/10,0)*10,[1]Hugst!$R$4:$W$4,0))))</f>
        <v>574.32247509989452</v>
      </c>
      <c r="I117">
        <f ca="1">IF($C117-I$1&lt;År1,0,H116*(1-VLOOKUP($A117,[1]Hugst!$R$5:$W$9,MATCH(ROUNDUP((I$1)/10,0)*10,[1]Hugst!$R$4:$W$4,0))))</f>
        <v>574.03592352740202</v>
      </c>
      <c r="J117">
        <f ca="1">IF($C117-J$1&lt;År1,0,I116*(1-VLOOKUP($A117,[1]Hugst!$R$5:$W$9,MATCH(ROUNDUP((J$1)/10,0)*10,[1]Hugst!$R$4:$W$4,0))))</f>
        <v>573.93158087100005</v>
      </c>
      <c r="K117">
        <f ca="1">IF($C117-K$1&lt;År1,0,J116*(1-VLOOKUP($A117,[1]Hugst!$R$5:$W$9,MATCH(ROUNDUP((K$1)/10,0)*10,[1]Hugst!$R$4:$W$4,0))))</f>
        <v>573.82927924851742</v>
      </c>
      <c r="L117">
        <f ca="1">IF($C117-L$1&lt;År1,0,K116*(1-VLOOKUP($A117,[1]Hugst!$R$5:$W$9,MATCH(ROUNDUP((L$1)/10,0)*10,[1]Hugst!$R$4:$W$4,0))))</f>
        <v>573.72903283569781</v>
      </c>
      <c r="M117">
        <f ca="1">IF($C117-M$1&lt;År1,0,L116*(1-VLOOKUP($A117,[1]Hugst!$R$5:$W$9,MATCH(ROUNDUP((M$1)/10,0)*10,[1]Hugst!$R$4:$W$4,0))))</f>
        <v>573.6308558854555</v>
      </c>
      <c r="N117">
        <f ca="1">IF($C117-N$1&lt;År1,0,M116*(1-VLOOKUP($A117,[1]Hugst!$R$5:$W$9,MATCH(ROUNDUP((N$1)/10,0)*10,[1]Hugst!$R$4:$W$4,0))))</f>
        <v>573.53476272833154</v>
      </c>
      <c r="O117">
        <f ca="1">IF($C117-O$1&lt;År1,0,N116*(1-VLOOKUP($A117,[1]Hugst!$R$5:$W$9,MATCH(ROUNDUP((O$1)/10,0)*10,[1]Hugst!$R$4:$W$4,0))))</f>
        <v>573.44076777290206</v>
      </c>
      <c r="P117">
        <f ca="1">IF($C117-P$1&lt;År1,0,O116*(1-VLOOKUP($A117,[1]Hugst!$R$5:$W$9,MATCH(ROUNDUP((P$1)/10,0)*10,[1]Hugst!$R$4:$W$4,0))))</f>
        <v>572.47428551130361</v>
      </c>
      <c r="Q117">
        <f ca="1">IF($C117-Q$1&lt;År1,0,P116*(1-VLOOKUP($A117,[1]Hugst!$R$5:$W$9,MATCH(ROUNDUP((Q$1)/10,0)*10,[1]Hugst!$R$4:$W$4,0))))</f>
        <v>571.51153825977201</v>
      </c>
      <c r="R117">
        <f ca="1">IF($C117-R$1&lt;År1,0,Q116*(1-VLOOKUP($A117,[1]Hugst!$R$5:$W$9,MATCH(ROUNDUP((R$1)/10,0)*10,[1]Hugst!$R$4:$W$4,0))))</f>
        <v>839.01717317136399</v>
      </c>
      <c r="S117">
        <f ca="1">IF($C117-S$1&lt;År1,0,R116*(1-VLOOKUP($A117,[1]Hugst!$R$5:$W$9,MATCH(ROUNDUP((S$1)/10,0)*10,[1]Hugst!$R$4:$W$4,0))))</f>
        <v>837.65238021549976</v>
      </c>
      <c r="T117">
        <f ca="1">IF($C117-T$1&lt;År1,0,S116*(1-VLOOKUP($A117,[1]Hugst!$R$5:$W$9,MATCH(ROUNDUP((T$1)/10,0)*10,[1]Hugst!$R$4:$W$4,0))))</f>
        <v>837.58870196391501</v>
      </c>
      <c r="U117">
        <f ca="1">IF($C117-U$1&lt;År1,0,T116*(1-VLOOKUP($A117,[1]Hugst!$R$5:$W$9,MATCH(ROUNDUP((U$1)/10,0)*10,[1]Hugst!$R$4:$W$4,0))))</f>
        <v>837.52936051810389</v>
      </c>
      <c r="V117">
        <f ca="1">IF($C117-V$1&lt;År1,0,U116*(1-VLOOKUP($A117,[1]Hugst!$R$5:$W$9,MATCH(ROUNDUP((V$1)/10,0)*10,[1]Hugst!$R$4:$W$4,0))))</f>
        <v>837.47436406770532</v>
      </c>
      <c r="W117">
        <f ca="1">IF($C117-W$1&lt;År1,0,V116*(1-VLOOKUP($A117,[1]Hugst!$R$5:$W$9,MATCH(ROUNDUP((W$1)/10,0)*10,[1]Hugst!$R$4:$W$4,0))))</f>
        <v>837.42372084150054</v>
      </c>
      <c r="X117">
        <f ca="1">IF($C117-X$1&lt;År1,0,W116*(1-VLOOKUP($A117,[1]Hugst!$R$5:$W$9,MATCH(ROUNDUP((X$1)/10,0)*10,[1]Hugst!$R$4:$W$4,0))))</f>
        <v>837.37743910767631</v>
      </c>
      <c r="Y117">
        <f ca="1">IF($C117-Y$1&lt;År1,0,X116*(1-VLOOKUP($A117,[1]Hugst!$R$5:$W$9,MATCH(ROUNDUP((Y$1)/10,0)*10,[1]Hugst!$R$4:$W$4,0))))</f>
        <v>837.33552717380485</v>
      </c>
      <c r="Z117">
        <f ca="1">IF($C117-Z$1&lt;År1,0,Y116*(1-VLOOKUP($A117,[1]Hugst!$R$5:$W$9,MATCH(ROUNDUP((Z$1)/10,0)*10,[1]Hugst!$R$4:$W$4,0))))</f>
        <v>837.12032873052965</v>
      </c>
      <c r="AA117">
        <f ca="1">IF($C117-AA$1&lt;År1,0,Z116*(1-VLOOKUP($A117,[1]Hugst!$R$5:$W$9,MATCH(ROUNDUP((AA$1)/10,0)*10,[1]Hugst!$R$4:$W$4,0))))</f>
        <v>836.90956858497634</v>
      </c>
      <c r="AB117">
        <f ca="1">IF($C117-AB$1&lt;År1,0,AA116*(1-VLOOKUP($A117,[1]Hugst!$R$5:$W$9,MATCH(ROUNDUP((AB$1)/10,0)*10,[1]Hugst!$R$4:$W$4,0))))</f>
        <v>836.70325235427413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226.95741798870131</v>
      </c>
      <c r="E118">
        <f t="shared" ca="1" si="2"/>
        <v>17.381544325515279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573.96859194384638</v>
      </c>
      <c r="G118">
        <f ca="1">IF($C118-G$1&lt;År1,0,F117*(1-VLOOKUP($A118,[1]Hugst!$R$5:$W$9,MATCH(ROUNDUP((G$1)/10,0)*10,[1]Hugst!$R$4:$W$4,0))))</f>
        <v>574.08281419279251</v>
      </c>
      <c r="H118">
        <f ca="1">IF($C118-H$1&lt;År1,0,G117*(1-VLOOKUP($A118,[1]Hugst!$R$5:$W$9,MATCH(ROUNDUP((H$1)/10,0)*10,[1]Hugst!$R$4:$W$4,0))))</f>
        <v>574.20076851991348</v>
      </c>
      <c r="I118">
        <f ca="1">IF($C118-I$1&lt;År1,0,H117*(1-VLOOKUP($A118,[1]Hugst!$R$5:$W$9,MATCH(ROUNDUP((I$1)/10,0)*10,[1]Hugst!$R$4:$W$4,0))))</f>
        <v>574.32247509989452</v>
      </c>
      <c r="J118">
        <f ca="1">IF($C118-J$1&lt;År1,0,I117*(1-VLOOKUP($A118,[1]Hugst!$R$5:$W$9,MATCH(ROUNDUP((J$1)/10,0)*10,[1]Hugst!$R$4:$W$4,0))))</f>
        <v>574.03592352740202</v>
      </c>
      <c r="K118">
        <f ca="1">IF($C118-K$1&lt;År1,0,J117*(1-VLOOKUP($A118,[1]Hugst!$R$5:$W$9,MATCH(ROUNDUP((K$1)/10,0)*10,[1]Hugst!$R$4:$W$4,0))))</f>
        <v>573.93158087100005</v>
      </c>
      <c r="L118">
        <f ca="1">IF($C118-L$1&lt;År1,0,K117*(1-VLOOKUP($A118,[1]Hugst!$R$5:$W$9,MATCH(ROUNDUP((L$1)/10,0)*10,[1]Hugst!$R$4:$W$4,0))))</f>
        <v>573.82927924851742</v>
      </c>
      <c r="M118">
        <f ca="1">IF($C118-M$1&lt;År1,0,L117*(1-VLOOKUP($A118,[1]Hugst!$R$5:$W$9,MATCH(ROUNDUP((M$1)/10,0)*10,[1]Hugst!$R$4:$W$4,0))))</f>
        <v>573.72903283569781</v>
      </c>
      <c r="N118">
        <f ca="1">IF($C118-N$1&lt;År1,0,M117*(1-VLOOKUP($A118,[1]Hugst!$R$5:$W$9,MATCH(ROUNDUP((N$1)/10,0)*10,[1]Hugst!$R$4:$W$4,0))))</f>
        <v>573.6308558854555</v>
      </c>
      <c r="O118">
        <f ca="1">IF($C118-O$1&lt;År1,0,N117*(1-VLOOKUP($A118,[1]Hugst!$R$5:$W$9,MATCH(ROUNDUP((O$1)/10,0)*10,[1]Hugst!$R$4:$W$4,0))))</f>
        <v>573.53476272833154</v>
      </c>
      <c r="P118">
        <f ca="1">IF($C118-P$1&lt;År1,0,O117*(1-VLOOKUP($A118,[1]Hugst!$R$5:$W$9,MATCH(ROUNDUP((P$1)/10,0)*10,[1]Hugst!$R$4:$W$4,0))))</f>
        <v>572.56602761867225</v>
      </c>
      <c r="Q118">
        <f ca="1">IF($C118-Q$1&lt;År1,0,P117*(1-VLOOKUP($A118,[1]Hugst!$R$5:$W$9,MATCH(ROUNDUP((Q$1)/10,0)*10,[1]Hugst!$R$4:$W$4,0))))</f>
        <v>571.6010196520491</v>
      </c>
      <c r="R118">
        <f ca="1">IF($C118-R$1&lt;År1,0,Q117*(1-VLOOKUP($A118,[1]Hugst!$R$5:$W$9,MATCH(ROUNDUP((R$1)/10,0)*10,[1]Hugst!$R$4:$W$4,0))))</f>
        <v>570.63974099801976</v>
      </c>
      <c r="S118">
        <f ca="1">IF($C118-S$1&lt;År1,0,R117*(1-VLOOKUP($A118,[1]Hugst!$R$5:$W$9,MATCH(ROUNDUP((S$1)/10,0)*10,[1]Hugst!$R$4:$W$4,0))))</f>
        <v>837.73731646652629</v>
      </c>
      <c r="T118">
        <f ca="1">IF($C118-T$1&lt;År1,0,S117*(1-VLOOKUP($A118,[1]Hugst!$R$5:$W$9,MATCH(ROUNDUP((T$1)/10,0)*10,[1]Hugst!$R$4:$W$4,0))))</f>
        <v>836.37460539822189</v>
      </c>
      <c r="U118">
        <f ca="1">IF($C118-U$1&lt;År1,0,T117*(1-VLOOKUP($A118,[1]Hugst!$R$5:$W$9,MATCH(ROUNDUP((U$1)/10,0)*10,[1]Hugst!$R$4:$W$4,0))))</f>
        <v>836.3110242829531</v>
      </c>
      <c r="V118">
        <f ca="1">IF($C118-V$1&lt;År1,0,U117*(1-VLOOKUP($A118,[1]Hugst!$R$5:$W$9,MATCH(ROUNDUP((V$1)/10,0)*10,[1]Hugst!$R$4:$W$4,0))))</f>
        <v>836.25177335799151</v>
      </c>
      <c r="W118">
        <f ca="1">IF($C118-W$1&lt;År1,0,V117*(1-VLOOKUP($A118,[1]Hugst!$R$5:$W$9,MATCH(ROUNDUP((W$1)/10,0)*10,[1]Hugst!$R$4:$W$4,0))))</f>
        <v>836.19686080048336</v>
      </c>
      <c r="X118">
        <f ca="1">IF($C118-X$1&lt;År1,0,W117*(1-VLOOKUP($A118,[1]Hugst!$R$5:$W$9,MATCH(ROUNDUP((X$1)/10,0)*10,[1]Hugst!$R$4:$W$4,0))))</f>
        <v>836.14629482665759</v>
      </c>
      <c r="Y118">
        <f ca="1">IF($C118-Y$1&lt;År1,0,X117*(1-VLOOKUP($A118,[1]Hugst!$R$5:$W$9,MATCH(ROUNDUP((Y$1)/10,0)*10,[1]Hugst!$R$4:$W$4,0))))</f>
        <v>836.10008369208833</v>
      </c>
      <c r="Z118">
        <f ca="1">IF($C118-Z$1&lt;År1,0,Y117*(1-VLOOKUP($A118,[1]Hugst!$R$5:$W$9,MATCH(ROUNDUP((Z$1)/10,0)*10,[1]Hugst!$R$4:$W$4,0))))</f>
        <v>835.88083409693502</v>
      </c>
      <c r="AA118">
        <f ca="1">IF($C118-AA$1&lt;År1,0,Z117*(1-VLOOKUP($A118,[1]Hugst!$R$5:$W$9,MATCH(ROUNDUP((AA$1)/10,0)*10,[1]Hugst!$R$4:$W$4,0))))</f>
        <v>835.66600951536213</v>
      </c>
      <c r="AB118">
        <f ca="1">IF($C118-AB$1&lt;År1,0,AA117*(1-VLOOKUP($A118,[1]Hugst!$R$5:$W$9,MATCH(ROUNDUP((AB$1)/10,0)*10,[1]Hugst!$R$4:$W$4,0))))</f>
        <v>835.45561552090919</v>
      </c>
      <c r="AC118">
        <f ca="1">IF($C118-AC$1&lt;År1,0,AB117*(1-VLOOKUP($A118,[1]Hugst!$R$5:$W$9,MATCH(ROUNDUP((AC$1)/10,0)*10,[1]Hugst!$R$4:$W$4,0))))</f>
        <v>835.24965772094674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225.82263089875323</v>
      </c>
      <c r="E119">
        <f t="shared" ca="1" si="2"/>
        <v>18.405821167925751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573.85808169630877</v>
      </c>
      <c r="G119">
        <f ca="1">IF($C119-G$1&lt;År1,0,F118*(1-VLOOKUP($A119,[1]Hugst!$R$5:$W$9,MATCH(ROUNDUP((G$1)/10,0)*10,[1]Hugst!$R$4:$W$4,0))))</f>
        <v>573.96859194384638</v>
      </c>
      <c r="H119">
        <f ca="1">IF($C119-H$1&lt;År1,0,G118*(1-VLOOKUP($A119,[1]Hugst!$R$5:$W$9,MATCH(ROUNDUP((H$1)/10,0)*10,[1]Hugst!$R$4:$W$4,0))))</f>
        <v>574.08281419279251</v>
      </c>
      <c r="I119">
        <f ca="1">IF($C119-I$1&lt;År1,0,H118*(1-VLOOKUP($A119,[1]Hugst!$R$5:$W$9,MATCH(ROUNDUP((I$1)/10,0)*10,[1]Hugst!$R$4:$W$4,0))))</f>
        <v>574.20076851991348</v>
      </c>
      <c r="J119">
        <f ca="1">IF($C119-J$1&lt;År1,0,I118*(1-VLOOKUP($A119,[1]Hugst!$R$5:$W$9,MATCH(ROUNDUP((J$1)/10,0)*10,[1]Hugst!$R$4:$W$4,0))))</f>
        <v>574.32247509989452</v>
      </c>
      <c r="K119">
        <f ca="1">IF($C119-K$1&lt;År1,0,J118*(1-VLOOKUP($A119,[1]Hugst!$R$5:$W$9,MATCH(ROUNDUP((K$1)/10,0)*10,[1]Hugst!$R$4:$W$4,0))))</f>
        <v>574.03592352740202</v>
      </c>
      <c r="L119">
        <f ca="1">IF($C119-L$1&lt;År1,0,K118*(1-VLOOKUP($A119,[1]Hugst!$R$5:$W$9,MATCH(ROUNDUP((L$1)/10,0)*10,[1]Hugst!$R$4:$W$4,0))))</f>
        <v>573.93158087100005</v>
      </c>
      <c r="M119">
        <f ca="1">IF($C119-M$1&lt;År1,0,L118*(1-VLOOKUP($A119,[1]Hugst!$R$5:$W$9,MATCH(ROUNDUP((M$1)/10,0)*10,[1]Hugst!$R$4:$W$4,0))))</f>
        <v>573.82927924851742</v>
      </c>
      <c r="N119">
        <f ca="1">IF($C119-N$1&lt;År1,0,M118*(1-VLOOKUP($A119,[1]Hugst!$R$5:$W$9,MATCH(ROUNDUP((N$1)/10,0)*10,[1]Hugst!$R$4:$W$4,0))))</f>
        <v>573.72903283569781</v>
      </c>
      <c r="O119">
        <f ca="1">IF($C119-O$1&lt;År1,0,N118*(1-VLOOKUP($A119,[1]Hugst!$R$5:$W$9,MATCH(ROUNDUP((O$1)/10,0)*10,[1]Hugst!$R$4:$W$4,0))))</f>
        <v>573.6308558854555</v>
      </c>
      <c r="P119">
        <f ca="1">IF($C119-P$1&lt;År1,0,O118*(1-VLOOKUP($A119,[1]Hugst!$R$5:$W$9,MATCH(ROUNDUP((P$1)/10,0)*10,[1]Hugst!$R$4:$W$4,0))))</f>
        <v>572.6598791919663</v>
      </c>
      <c r="Q119">
        <f ca="1">IF($C119-Q$1&lt;År1,0,P118*(1-VLOOKUP($A119,[1]Hugst!$R$5:$W$9,MATCH(ROUNDUP((Q$1)/10,0)*10,[1]Hugst!$R$4:$W$4,0))))</f>
        <v>571.69262181383021</v>
      </c>
      <c r="R119">
        <f ca="1">IF($C119-R$1&lt;År1,0,Q118*(1-VLOOKUP($A119,[1]Hugst!$R$5:$W$9,MATCH(ROUNDUP((R$1)/10,0)*10,[1]Hugst!$R$4:$W$4,0))))</f>
        <v>570.72908589325777</v>
      </c>
      <c r="S119">
        <f ca="1">IF($C119-S$1&lt;År1,0,R118*(1-VLOOKUP($A119,[1]Hugst!$R$5:$W$9,MATCH(ROUNDUP((S$1)/10,0)*10,[1]Hugst!$R$4:$W$4,0))))</f>
        <v>569.76927359649733</v>
      </c>
      <c r="T119">
        <f ca="1">IF($C119-T$1&lt;År1,0,S118*(1-VLOOKUP($A119,[1]Hugst!$R$5:$W$9,MATCH(ROUNDUP((T$1)/10,0)*10,[1]Hugst!$R$4:$W$4,0))))</f>
        <v>836.45941208547561</v>
      </c>
      <c r="U119">
        <f ca="1">IF($C119-U$1&lt;År1,0,T118*(1-VLOOKUP($A119,[1]Hugst!$R$5:$W$9,MATCH(ROUNDUP((U$1)/10,0)*10,[1]Hugst!$R$4:$W$4,0))))</f>
        <v>835.09877972897038</v>
      </c>
      <c r="V119">
        <f ca="1">IF($C119-V$1&lt;År1,0,U118*(1-VLOOKUP($A119,[1]Hugst!$R$5:$W$9,MATCH(ROUNDUP((V$1)/10,0)*10,[1]Hugst!$R$4:$W$4,0))))</f>
        <v>835.03529560184347</v>
      </c>
      <c r="W119">
        <f ca="1">IF($C119-W$1&lt;År1,0,V118*(1-VLOOKUP($A119,[1]Hugst!$R$5:$W$9,MATCH(ROUNDUP((W$1)/10,0)*10,[1]Hugst!$R$4:$W$4,0))))</f>
        <v>834.97613505964875</v>
      </c>
      <c r="X119">
        <f ca="1">IF($C119-X$1&lt;År1,0,W118*(1-VLOOKUP($A119,[1]Hugst!$R$5:$W$9,MATCH(ROUNDUP((X$1)/10,0)*10,[1]Hugst!$R$4:$W$4,0))))</f>
        <v>834.92130626705887</v>
      </c>
      <c r="Y119">
        <f ca="1">IF($C119-Y$1&lt;År1,0,X118*(1-VLOOKUP($A119,[1]Hugst!$R$5:$W$9,MATCH(ROUNDUP((Y$1)/10,0)*10,[1]Hugst!$R$4:$W$4,0))))</f>
        <v>834.87081742776945</v>
      </c>
      <c r="Z119">
        <f ca="1">IF($C119-Z$1&lt;År1,0,Y118*(1-VLOOKUP($A119,[1]Hugst!$R$5:$W$9,MATCH(ROUNDUP((Z$1)/10,0)*10,[1]Hugst!$R$4:$W$4,0))))</f>
        <v>834.64753693652153</v>
      </c>
      <c r="AA119">
        <f ca="1">IF($C119-AA$1&lt;År1,0,Z118*(1-VLOOKUP($A119,[1]Hugst!$R$5:$W$9,MATCH(ROUNDUP((AA$1)/10,0)*10,[1]Hugst!$R$4:$W$4,0))))</f>
        <v>834.42866824108864</v>
      </c>
      <c r="AB119">
        <f ca="1">IF($C119-AB$1&lt;År1,0,AA118*(1-VLOOKUP($A119,[1]Hugst!$R$5:$W$9,MATCH(ROUNDUP((AB$1)/10,0)*10,[1]Hugst!$R$4:$W$4,0))))</f>
        <v>834.21421687171255</v>
      </c>
      <c r="AC119">
        <f ca="1">IF($C119-AC$1&lt;År1,0,AB118*(1-VLOOKUP($A119,[1]Hugst!$R$5:$W$9,MATCH(ROUNDUP((AC$1)/10,0)*10,[1]Hugst!$R$4:$W$4,0))))</f>
        <v>834.00418839224994</v>
      </c>
      <c r="AD119">
        <f ca="1">IF($C119-AD$1&lt;År1,0,AC118*(1-VLOOKUP($A119,[1]Hugst!$R$5:$W$9,MATCH(ROUNDUP((AD$1)/10,0)*10,[1]Hugst!$R$4:$W$4,0))))</f>
        <v>833.79858840032978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224.69351774426195</v>
      </c>
      <c r="E120">
        <f t="shared" ca="1" si="2"/>
        <v>19.42811609709679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573.75126347098853</v>
      </c>
      <c r="G120">
        <f ca="1">IF($C120-G$1&lt;År1,0,F119*(1-VLOOKUP($A120,[1]Hugst!$R$5:$W$9,MATCH(ROUNDUP((G$1)/10,0)*10,[1]Hugst!$R$4:$W$4,0))))</f>
        <v>573.85808169630877</v>
      </c>
      <c r="H120">
        <f ca="1">IF($C120-H$1&lt;År1,0,G119*(1-VLOOKUP($A120,[1]Hugst!$R$5:$W$9,MATCH(ROUNDUP((H$1)/10,0)*10,[1]Hugst!$R$4:$W$4,0))))</f>
        <v>573.96859194384638</v>
      </c>
      <c r="I120">
        <f ca="1">IF($C120-I$1&lt;År1,0,H119*(1-VLOOKUP($A120,[1]Hugst!$R$5:$W$9,MATCH(ROUNDUP((I$1)/10,0)*10,[1]Hugst!$R$4:$W$4,0))))</f>
        <v>574.08281419279251</v>
      </c>
      <c r="J120">
        <f ca="1">IF($C120-J$1&lt;År1,0,I119*(1-VLOOKUP($A120,[1]Hugst!$R$5:$W$9,MATCH(ROUNDUP((J$1)/10,0)*10,[1]Hugst!$R$4:$W$4,0))))</f>
        <v>574.20076851991348</v>
      </c>
      <c r="K120">
        <f ca="1">IF($C120-K$1&lt;År1,0,J119*(1-VLOOKUP($A120,[1]Hugst!$R$5:$W$9,MATCH(ROUNDUP((K$1)/10,0)*10,[1]Hugst!$R$4:$W$4,0))))</f>
        <v>574.32247509989452</v>
      </c>
      <c r="L120">
        <f ca="1">IF($C120-L$1&lt;År1,0,K119*(1-VLOOKUP($A120,[1]Hugst!$R$5:$W$9,MATCH(ROUNDUP((L$1)/10,0)*10,[1]Hugst!$R$4:$W$4,0))))</f>
        <v>574.03592352740202</v>
      </c>
      <c r="M120">
        <f ca="1">IF($C120-M$1&lt;År1,0,L119*(1-VLOOKUP($A120,[1]Hugst!$R$5:$W$9,MATCH(ROUNDUP((M$1)/10,0)*10,[1]Hugst!$R$4:$W$4,0))))</f>
        <v>573.93158087100005</v>
      </c>
      <c r="N120">
        <f ca="1">IF($C120-N$1&lt;År1,0,M119*(1-VLOOKUP($A120,[1]Hugst!$R$5:$W$9,MATCH(ROUNDUP((N$1)/10,0)*10,[1]Hugst!$R$4:$W$4,0))))</f>
        <v>573.82927924851742</v>
      </c>
      <c r="O120">
        <f ca="1">IF($C120-O$1&lt;År1,0,N119*(1-VLOOKUP($A120,[1]Hugst!$R$5:$W$9,MATCH(ROUNDUP((O$1)/10,0)*10,[1]Hugst!$R$4:$W$4,0))))</f>
        <v>573.72903283569781</v>
      </c>
      <c r="P120">
        <f ca="1">IF($C120-P$1&lt;År1,0,O119*(1-VLOOKUP($A120,[1]Hugst!$R$5:$W$9,MATCH(ROUNDUP((P$1)/10,0)*10,[1]Hugst!$R$4:$W$4,0))))</f>
        <v>572.75582576630813</v>
      </c>
      <c r="Q120">
        <f ca="1">IF($C120-Q$1&lt;År1,0,P119*(1-VLOOKUP($A120,[1]Hugst!$R$5:$W$9,MATCH(ROUNDUP((Q$1)/10,0)*10,[1]Hugst!$R$4:$W$4,0))))</f>
        <v>571.7863302237073</v>
      </c>
      <c r="R120">
        <f ca="1">IF($C120-R$1&lt;År1,0,Q119*(1-VLOOKUP($A120,[1]Hugst!$R$5:$W$9,MATCH(ROUNDUP((R$1)/10,0)*10,[1]Hugst!$R$4:$W$4,0))))</f>
        <v>570.82054832292772</v>
      </c>
      <c r="S120">
        <f ca="1">IF($C120-S$1&lt;År1,0,R119*(1-VLOOKUP($A120,[1]Hugst!$R$5:$W$9,MATCH(ROUNDUP((S$1)/10,0)*10,[1]Hugst!$R$4:$W$4,0))))</f>
        <v>569.85848220291211</v>
      </c>
      <c r="T120">
        <f ca="1">IF($C120-T$1&lt;År1,0,S119*(1-VLOOKUP($A120,[1]Hugst!$R$5:$W$9,MATCH(ROUNDUP((T$1)/10,0)*10,[1]Hugst!$R$4:$W$4,0))))</f>
        <v>568.90013402660429</v>
      </c>
      <c r="U120">
        <f ca="1">IF($C120-U$1&lt;År1,0,T119*(1-VLOOKUP($A120,[1]Hugst!$R$5:$W$9,MATCH(ROUNDUP((U$1)/10,0)*10,[1]Hugst!$R$4:$W$4,0))))</f>
        <v>835.18345705009096</v>
      </c>
      <c r="V120">
        <f ca="1">IF($C120-V$1&lt;År1,0,U119*(1-VLOOKUP($A120,[1]Hugst!$R$5:$W$9,MATCH(ROUNDUP((V$1)/10,0)*10,[1]Hugst!$R$4:$W$4,0))))</f>
        <v>833.82490023446849</v>
      </c>
      <c r="W120">
        <f ca="1">IF($C120-W$1&lt;År1,0,V119*(1-VLOOKUP($A120,[1]Hugst!$R$5:$W$9,MATCH(ROUNDUP((W$1)/10,0)*10,[1]Hugst!$R$4:$W$4,0))))</f>
        <v>833.76151294753549</v>
      </c>
      <c r="X120">
        <f ca="1">IF($C120-X$1&lt;År1,0,W119*(1-VLOOKUP($A120,[1]Hugst!$R$5:$W$9,MATCH(ROUNDUP((X$1)/10,0)*10,[1]Hugst!$R$4:$W$4,0))))</f>
        <v>833.70244265023575</v>
      </c>
      <c r="Y120">
        <f ca="1">IF($C120-Y$1&lt;År1,0,X119*(1-VLOOKUP($A120,[1]Hugst!$R$5:$W$9,MATCH(ROUNDUP((Y$1)/10,0)*10,[1]Hugst!$R$4:$W$4,0))))</f>
        <v>833.64769749478705</v>
      </c>
      <c r="Z120">
        <f ca="1">IF($C120-Z$1&lt;År1,0,Y119*(1-VLOOKUP($A120,[1]Hugst!$R$5:$W$9,MATCH(ROUNDUP((Z$1)/10,0)*10,[1]Hugst!$R$4:$W$4,0))))</f>
        <v>833.42040626189919</v>
      </c>
      <c r="AA120">
        <f ca="1">IF($C120-AA$1&lt;År1,0,Z119*(1-VLOOKUP($A120,[1]Hugst!$R$5:$W$9,MATCH(ROUNDUP((AA$1)/10,0)*10,[1]Hugst!$R$4:$W$4,0))))</f>
        <v>833.19751367319952</v>
      </c>
      <c r="AB120">
        <f ca="1">IF($C120-AB$1&lt;År1,0,AA119*(1-VLOOKUP($A120,[1]Hugst!$R$5:$W$9,MATCH(ROUNDUP((AB$1)/10,0)*10,[1]Hugst!$R$4:$W$4,0))))</f>
        <v>832.97902521575452</v>
      </c>
      <c r="AC120">
        <f ca="1">IF($C120-AC$1&lt;År1,0,AB119*(1-VLOOKUP($A120,[1]Hugst!$R$5:$W$9,MATCH(ROUNDUP((AC$1)/10,0)*10,[1]Hugst!$R$4:$W$4,0))))</f>
        <v>832.76494641019815</v>
      </c>
      <c r="AD120">
        <f ca="1">IF($C120-AD$1&lt;År1,0,AC119*(1-VLOOKUP($A120,[1]Hugst!$R$5:$W$9,MATCH(ROUNDUP((AD$1)/10,0)*10,[1]Hugst!$R$4:$W$4,0))))</f>
        <v>832.555282810721</v>
      </c>
      <c r="AE120">
        <f ca="1">IF($C120-AE$1&lt;År1,0,AD119*(1-VLOOKUP($A120,[1]Hugst!$R$5:$W$9,MATCH(ROUNDUP((AE$1)/10,0)*10,[1]Hugst!$R$4:$W$4,0))))</f>
        <v>832.35004000522747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223.5700501555466</v>
      </c>
      <c r="E121">
        <f t="shared" ca="1" si="2"/>
        <v>20.448437600516627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573.64811738569301</v>
      </c>
      <c r="G121">
        <f ca="1">IF($C121-G$1&lt;År1,0,F120*(1-VLOOKUP($A121,[1]Hugst!$R$5:$W$9,MATCH(ROUNDUP((G$1)/10,0)*10,[1]Hugst!$R$4:$W$4,0))))</f>
        <v>573.75126347098853</v>
      </c>
      <c r="H121">
        <f ca="1">IF($C121-H$1&lt;År1,0,G120*(1-VLOOKUP($A121,[1]Hugst!$R$5:$W$9,MATCH(ROUNDUP((H$1)/10,0)*10,[1]Hugst!$R$4:$W$4,0))))</f>
        <v>573.85808169630877</v>
      </c>
      <c r="I121">
        <f ca="1">IF($C121-I$1&lt;År1,0,H120*(1-VLOOKUP($A121,[1]Hugst!$R$5:$W$9,MATCH(ROUNDUP((I$1)/10,0)*10,[1]Hugst!$R$4:$W$4,0))))</f>
        <v>573.96859194384638</v>
      </c>
      <c r="J121">
        <f ca="1">IF($C121-J$1&lt;År1,0,I120*(1-VLOOKUP($A121,[1]Hugst!$R$5:$W$9,MATCH(ROUNDUP((J$1)/10,0)*10,[1]Hugst!$R$4:$W$4,0))))</f>
        <v>574.08281419279251</v>
      </c>
      <c r="K121">
        <f ca="1">IF($C121-K$1&lt;År1,0,J120*(1-VLOOKUP($A121,[1]Hugst!$R$5:$W$9,MATCH(ROUNDUP((K$1)/10,0)*10,[1]Hugst!$R$4:$W$4,0))))</f>
        <v>574.20076851991348</v>
      </c>
      <c r="L121">
        <f ca="1">IF($C121-L$1&lt;År1,0,K120*(1-VLOOKUP($A121,[1]Hugst!$R$5:$W$9,MATCH(ROUNDUP((L$1)/10,0)*10,[1]Hugst!$R$4:$W$4,0))))</f>
        <v>574.32247509989452</v>
      </c>
      <c r="M121">
        <f ca="1">IF($C121-M$1&lt;År1,0,L120*(1-VLOOKUP($A121,[1]Hugst!$R$5:$W$9,MATCH(ROUNDUP((M$1)/10,0)*10,[1]Hugst!$R$4:$W$4,0))))</f>
        <v>574.03592352740202</v>
      </c>
      <c r="N121">
        <f ca="1">IF($C121-N$1&lt;År1,0,M120*(1-VLOOKUP($A121,[1]Hugst!$R$5:$W$9,MATCH(ROUNDUP((N$1)/10,0)*10,[1]Hugst!$R$4:$W$4,0))))</f>
        <v>573.93158087100005</v>
      </c>
      <c r="O121">
        <f ca="1">IF($C121-O$1&lt;År1,0,N120*(1-VLOOKUP($A121,[1]Hugst!$R$5:$W$9,MATCH(ROUNDUP((O$1)/10,0)*10,[1]Hugst!$R$4:$W$4,0))))</f>
        <v>573.82927924851742</v>
      </c>
      <c r="P121">
        <f ca="1">IF($C121-P$1&lt;År1,0,O120*(1-VLOOKUP($A121,[1]Hugst!$R$5:$W$9,MATCH(ROUNDUP((P$1)/10,0)*10,[1]Hugst!$R$4:$W$4,0))))</f>
        <v>572.85385295510093</v>
      </c>
      <c r="Q121">
        <f ca="1">IF($C121-Q$1&lt;År1,0,P120*(1-VLOOKUP($A121,[1]Hugst!$R$5:$W$9,MATCH(ROUNDUP((Q$1)/10,0)*10,[1]Hugst!$R$4:$W$4,0))))</f>
        <v>571.88213043886799</v>
      </c>
      <c r="R121">
        <f ca="1">IF($C121-R$1&lt;År1,0,Q120*(1-VLOOKUP($A121,[1]Hugst!$R$5:$W$9,MATCH(ROUNDUP((R$1)/10,0)*10,[1]Hugst!$R$4:$W$4,0))))</f>
        <v>570.91411378777286</v>
      </c>
      <c r="S121">
        <f ca="1">IF($C121-S$1&lt;År1,0,R120*(1-VLOOKUP($A121,[1]Hugst!$R$5:$W$9,MATCH(ROUNDUP((S$1)/10,0)*10,[1]Hugst!$R$4:$W$4,0))))</f>
        <v>569.94980511362155</v>
      </c>
      <c r="T121">
        <f ca="1">IF($C121-T$1&lt;År1,0,S120*(1-VLOOKUP($A121,[1]Hugst!$R$5:$W$9,MATCH(ROUNDUP((T$1)/10,0)*10,[1]Hugst!$R$4:$W$4,0))))</f>
        <v>568.98920655209406</v>
      </c>
      <c r="U121">
        <f ca="1">IF($C121-U$1&lt;År1,0,T120*(1-VLOOKUP($A121,[1]Hugst!$R$5:$W$9,MATCH(ROUNDUP((U$1)/10,0)*10,[1]Hugst!$R$4:$W$4,0))))</f>
        <v>568.0323202628349</v>
      </c>
      <c r="V121">
        <f ca="1">IF($C121-V$1&lt;År1,0,U120*(1-VLOOKUP($A121,[1]Hugst!$R$5:$W$9,MATCH(ROUNDUP((V$1)/10,0)*10,[1]Hugst!$R$4:$W$4,0))))</f>
        <v>833.90944838679422</v>
      </c>
      <c r="W121">
        <f ca="1">IF($C121-W$1&lt;År1,0,V120*(1-VLOOKUP($A121,[1]Hugst!$R$5:$W$9,MATCH(ROUNDUP((W$1)/10,0)*10,[1]Hugst!$R$4:$W$4,0))))</f>
        <v>832.55296394597519</v>
      </c>
      <c r="X121">
        <f ca="1">IF($C121-X$1&lt;År1,0,W120*(1-VLOOKUP($A121,[1]Hugst!$R$5:$W$9,MATCH(ROUNDUP((X$1)/10,0)*10,[1]Hugst!$R$4:$W$4,0))))</f>
        <v>832.48967335151383</v>
      </c>
      <c r="Y121">
        <f ca="1">IF($C121-Y$1&lt;År1,0,X120*(1-VLOOKUP($A121,[1]Hugst!$R$5:$W$9,MATCH(ROUNDUP((Y$1)/10,0)*10,[1]Hugst!$R$4:$W$4,0))))</f>
        <v>832.43069316144727</v>
      </c>
      <c r="Z121">
        <f ca="1">IF($C121-Z$1&lt;År1,0,Y120*(1-VLOOKUP($A121,[1]Hugst!$R$5:$W$9,MATCH(ROUNDUP((Z$1)/10,0)*10,[1]Hugst!$R$4:$W$4,0))))</f>
        <v>832.19941124066474</v>
      </c>
      <c r="AA121">
        <f ca="1">IF($C121-AA$1&lt;År1,0,Z120*(1-VLOOKUP($A121,[1]Hugst!$R$5:$W$9,MATCH(ROUNDUP((AA$1)/10,0)*10,[1]Hugst!$R$4:$W$4,0))))</f>
        <v>831.97251487813912</v>
      </c>
      <c r="AB121">
        <f ca="1">IF($C121-AB$1&lt;År1,0,AA120*(1-VLOOKUP($A121,[1]Hugst!$R$5:$W$9,MATCH(ROUNDUP((AB$1)/10,0)*10,[1]Hugst!$R$4:$W$4,0))))</f>
        <v>831.75000951808931</v>
      </c>
      <c r="AC121">
        <f ca="1">IF($C121-AC$1&lt;År1,0,AB120*(1-VLOOKUP($A121,[1]Hugst!$R$5:$W$9,MATCH(ROUNDUP((AC$1)/10,0)*10,[1]Hugst!$R$4:$W$4,0))))</f>
        <v>831.53190063804914</v>
      </c>
      <c r="AD121">
        <f ca="1">IF($C121-AD$1&lt;År1,0,AC120*(1-VLOOKUP($A121,[1]Hugst!$R$5:$W$9,MATCH(ROUNDUP((AD$1)/10,0)*10,[1]Hugst!$R$4:$W$4,0))))</f>
        <v>831.31819374906172</v>
      </c>
      <c r="AE121">
        <f ca="1">IF($C121-AE$1&lt;År1,0,AD120*(1-VLOOKUP($A121,[1]Hugst!$R$5:$W$9,MATCH(ROUNDUP((AE$1)/10,0)*10,[1]Hugst!$R$4:$W$4,0))))</f>
        <v>831.10889439566847</v>
      </c>
      <c r="AF121">
        <f ca="1">IF($C121-AF$1&lt;År1,0,AE120*(1-VLOOKUP($A121,[1]Hugst!$R$5:$W$9,MATCH(ROUNDUP((AF$1)/10,0)*10,[1]Hugst!$R$4:$W$4,0))))</f>
        <v>830.90400815606586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222.4521999047538</v>
      </c>
      <c r="E122">
        <f t="shared" ca="1" si="2"/>
        <v>21.466794120369741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573.54862365475333</v>
      </c>
      <c r="G122">
        <f ca="1">IF($C122-G$1&lt;År1,0,F121*(1-VLOOKUP($A122,[1]Hugst!$R$5:$W$9,MATCH(ROUNDUP((G$1)/10,0)*10,[1]Hugst!$R$4:$W$4,0))))</f>
        <v>573.64811738569301</v>
      </c>
      <c r="H122">
        <f ca="1">IF($C122-H$1&lt;År1,0,G121*(1-VLOOKUP($A122,[1]Hugst!$R$5:$W$9,MATCH(ROUNDUP((H$1)/10,0)*10,[1]Hugst!$R$4:$W$4,0))))</f>
        <v>573.75126347098853</v>
      </c>
      <c r="I122">
        <f ca="1">IF($C122-I$1&lt;År1,0,H121*(1-VLOOKUP($A122,[1]Hugst!$R$5:$W$9,MATCH(ROUNDUP((I$1)/10,0)*10,[1]Hugst!$R$4:$W$4,0))))</f>
        <v>573.85808169630877</v>
      </c>
      <c r="J122">
        <f ca="1">IF($C122-J$1&lt;År1,0,I121*(1-VLOOKUP($A122,[1]Hugst!$R$5:$W$9,MATCH(ROUNDUP((J$1)/10,0)*10,[1]Hugst!$R$4:$W$4,0))))</f>
        <v>573.96859194384638</v>
      </c>
      <c r="K122">
        <f ca="1">IF($C122-K$1&lt;År1,0,J121*(1-VLOOKUP($A122,[1]Hugst!$R$5:$W$9,MATCH(ROUNDUP((K$1)/10,0)*10,[1]Hugst!$R$4:$W$4,0))))</f>
        <v>574.08281419279251</v>
      </c>
      <c r="L122">
        <f ca="1">IF($C122-L$1&lt;År1,0,K121*(1-VLOOKUP($A122,[1]Hugst!$R$5:$W$9,MATCH(ROUNDUP((L$1)/10,0)*10,[1]Hugst!$R$4:$W$4,0))))</f>
        <v>574.20076851991348</v>
      </c>
      <c r="M122">
        <f ca="1">IF($C122-M$1&lt;År1,0,L121*(1-VLOOKUP($A122,[1]Hugst!$R$5:$W$9,MATCH(ROUNDUP((M$1)/10,0)*10,[1]Hugst!$R$4:$W$4,0))))</f>
        <v>574.32247509989452</v>
      </c>
      <c r="N122">
        <f ca="1">IF($C122-N$1&lt;År1,0,M121*(1-VLOOKUP($A122,[1]Hugst!$R$5:$W$9,MATCH(ROUNDUP((N$1)/10,0)*10,[1]Hugst!$R$4:$W$4,0))))</f>
        <v>574.03592352740202</v>
      </c>
      <c r="O122">
        <f ca="1">IF($C122-O$1&lt;År1,0,N121*(1-VLOOKUP($A122,[1]Hugst!$R$5:$W$9,MATCH(ROUNDUP((O$1)/10,0)*10,[1]Hugst!$R$4:$W$4,0))))</f>
        <v>573.93158087100005</v>
      </c>
      <c r="P122">
        <f ca="1">IF($C122-P$1&lt;År1,0,O121*(1-VLOOKUP($A122,[1]Hugst!$R$5:$W$9,MATCH(ROUNDUP((P$1)/10,0)*10,[1]Hugst!$R$4:$W$4,0))))</f>
        <v>572.9539464496637</v>
      </c>
      <c r="Q122">
        <f ca="1">IF($C122-Q$1&lt;År1,0,P121*(1-VLOOKUP($A122,[1]Hugst!$R$5:$W$9,MATCH(ROUNDUP((Q$1)/10,0)*10,[1]Hugst!$R$4:$W$4,0))))</f>
        <v>571.98000809466089</v>
      </c>
      <c r="R122">
        <f ca="1">IF($C122-R$1&lt;År1,0,Q121*(1-VLOOKUP($A122,[1]Hugst!$R$5:$W$9,MATCH(ROUNDUP((R$1)/10,0)*10,[1]Hugst!$R$4:$W$4,0))))</f>
        <v>571.0097678670121</v>
      </c>
      <c r="S122">
        <f ca="1">IF($C122-S$1&lt;År1,0,R121*(1-VLOOKUP($A122,[1]Hugst!$R$5:$W$9,MATCH(ROUNDUP((S$1)/10,0)*10,[1]Hugst!$R$4:$W$4,0))))</f>
        <v>570.04322785148645</v>
      </c>
      <c r="T122">
        <f ca="1">IF($C122-T$1&lt;År1,0,S121*(1-VLOOKUP($A122,[1]Hugst!$R$5:$W$9,MATCH(ROUNDUP((T$1)/10,0)*10,[1]Hugst!$R$4:$W$4,0))))</f>
        <v>569.0803901566685</v>
      </c>
      <c r="U122">
        <f ca="1">IF($C122-U$1&lt;År1,0,T121*(1-VLOOKUP($A122,[1]Hugst!$R$5:$W$9,MATCH(ROUNDUP((U$1)/10,0)*10,[1]Hugst!$R$4:$W$4,0))))</f>
        <v>568.12125691498068</v>
      </c>
      <c r="V122">
        <f ca="1">IF($C122-V$1&lt;År1,0,U121*(1-VLOOKUP($A122,[1]Hugst!$R$5:$W$9,MATCH(ROUNDUP((V$1)/10,0)*10,[1]Hugst!$R$4:$W$4,0))))</f>
        <v>567.16583028277296</v>
      </c>
      <c r="W122">
        <f ca="1">IF($C122-W$1&lt;År1,0,V121*(1-VLOOKUP($A122,[1]Hugst!$R$5:$W$9,MATCH(ROUNDUP((W$1)/10,0)*10,[1]Hugst!$R$4:$W$4,0))))</f>
        <v>832.63738312654311</v>
      </c>
      <c r="X122">
        <f ca="1">IF($C122-X$1&lt;År1,0,W121*(1-VLOOKUP($A122,[1]Hugst!$R$5:$W$9,MATCH(ROUNDUP((X$1)/10,0)*10,[1]Hugst!$R$4:$W$4,0))))</f>
        <v>831.28296789927788</v>
      </c>
      <c r="Y122">
        <f ca="1">IF($C122-Y$1&lt;År1,0,X121*(1-VLOOKUP($A122,[1]Hugst!$R$5:$W$9,MATCH(ROUNDUP((Y$1)/10,0)*10,[1]Hugst!$R$4:$W$4,0))))</f>
        <v>831.21977384979118</v>
      </c>
      <c r="Z122">
        <f ca="1">IF($C122-Z$1&lt;År1,0,Y121*(1-VLOOKUP($A122,[1]Hugst!$R$5:$W$9,MATCH(ROUNDUP((Z$1)/10,0)*10,[1]Hugst!$R$4:$W$4,0))))</f>
        <v>830.98452119451417</v>
      </c>
      <c r="AA122">
        <f ca="1">IF($C122-AA$1&lt;År1,0,Z121*(1-VLOOKUP($A122,[1]Hugst!$R$5:$W$9,MATCH(ROUNDUP((AA$1)/10,0)*10,[1]Hugst!$R$4:$W$4,0))))</f>
        <v>830.75364107706866</v>
      </c>
      <c r="AB122">
        <f ca="1">IF($C122-AB$1&lt;År1,0,AA121*(1-VLOOKUP($A122,[1]Hugst!$R$5:$W$9,MATCH(ROUNDUP((AB$1)/10,0)*10,[1]Hugst!$R$4:$W$4,0))))</f>
        <v>830.52713889890163</v>
      </c>
      <c r="AC122">
        <f ca="1">IF($C122-AC$1&lt;År1,0,AB121*(1-VLOOKUP($A122,[1]Hugst!$R$5:$W$9,MATCH(ROUNDUP((AC$1)/10,0)*10,[1]Hugst!$R$4:$W$4,0))))</f>
        <v>830.30502009477391</v>
      </c>
      <c r="AD122">
        <f ca="1">IF($C122-AD$1&lt;År1,0,AC121*(1-VLOOKUP($A122,[1]Hugst!$R$5:$W$9,MATCH(ROUNDUP((AD$1)/10,0)*10,[1]Hugst!$R$4:$W$4,0))))</f>
        <v>830.08729013270329</v>
      </c>
      <c r="AE122">
        <f ca="1">IF($C122-AE$1&lt;År1,0,AD121*(1-VLOOKUP($A122,[1]Hugst!$R$5:$W$9,MATCH(ROUNDUP((AE$1)/10,0)*10,[1]Hugst!$R$4:$W$4,0))))</f>
        <v>829.87395451415864</v>
      </c>
      <c r="AF122">
        <f ca="1">IF($C122-AF$1&lt;År1,0,AE121*(1-VLOOKUP($A122,[1]Hugst!$R$5:$W$9,MATCH(ROUNDUP((AF$1)/10,0)*10,[1]Hugst!$R$4:$W$4,0))))</f>
        <v>829.6650187740488</v>
      </c>
      <c r="AG122">
        <f ca="1">IF($C122-AG$1&lt;År1,0,AF121*(1-VLOOKUP($A122,[1]Hugst!$R$5:$W$9,MATCH(ROUNDUP((AG$1)/10,0)*10,[1]Hugst!$R$4:$W$4,0))))</f>
        <v>829.46048848087946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221.33993890523561</v>
      </c>
      <c r="E123">
        <f t="shared" ca="1" si="2"/>
        <v>22.483194053824263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573.45276258868967</v>
      </c>
      <c r="G123">
        <f ca="1">IF($C123-G$1&lt;År1,0,F122*(1-VLOOKUP($A123,[1]Hugst!$R$5:$W$9,MATCH(ROUNDUP((G$1)/10,0)*10,[1]Hugst!$R$4:$W$4,0))))</f>
        <v>573.54862365475333</v>
      </c>
      <c r="H123">
        <f ca="1">IF($C123-H$1&lt;År1,0,G122*(1-VLOOKUP($A123,[1]Hugst!$R$5:$W$9,MATCH(ROUNDUP((H$1)/10,0)*10,[1]Hugst!$R$4:$W$4,0))))</f>
        <v>573.64811738569301</v>
      </c>
      <c r="I123">
        <f ca="1">IF($C123-I$1&lt;År1,0,H122*(1-VLOOKUP($A123,[1]Hugst!$R$5:$W$9,MATCH(ROUNDUP((I$1)/10,0)*10,[1]Hugst!$R$4:$W$4,0))))</f>
        <v>573.75126347098853</v>
      </c>
      <c r="J123">
        <f ca="1">IF($C123-J$1&lt;År1,0,I122*(1-VLOOKUP($A123,[1]Hugst!$R$5:$W$9,MATCH(ROUNDUP((J$1)/10,0)*10,[1]Hugst!$R$4:$W$4,0))))</f>
        <v>573.85808169630877</v>
      </c>
      <c r="K123">
        <f ca="1">IF($C123-K$1&lt;År1,0,J122*(1-VLOOKUP($A123,[1]Hugst!$R$5:$W$9,MATCH(ROUNDUP((K$1)/10,0)*10,[1]Hugst!$R$4:$W$4,0))))</f>
        <v>573.96859194384638</v>
      </c>
      <c r="L123">
        <f ca="1">IF($C123-L$1&lt;År1,0,K122*(1-VLOOKUP($A123,[1]Hugst!$R$5:$W$9,MATCH(ROUNDUP((L$1)/10,0)*10,[1]Hugst!$R$4:$W$4,0))))</f>
        <v>574.08281419279251</v>
      </c>
      <c r="M123">
        <f ca="1">IF($C123-M$1&lt;År1,0,L122*(1-VLOOKUP($A123,[1]Hugst!$R$5:$W$9,MATCH(ROUNDUP((M$1)/10,0)*10,[1]Hugst!$R$4:$W$4,0))))</f>
        <v>574.20076851991348</v>
      </c>
      <c r="N123">
        <f ca="1">IF($C123-N$1&lt;År1,0,M122*(1-VLOOKUP($A123,[1]Hugst!$R$5:$W$9,MATCH(ROUNDUP((N$1)/10,0)*10,[1]Hugst!$R$4:$W$4,0))))</f>
        <v>574.32247509989452</v>
      </c>
      <c r="O123">
        <f ca="1">IF($C123-O$1&lt;År1,0,N122*(1-VLOOKUP($A123,[1]Hugst!$R$5:$W$9,MATCH(ROUNDUP((O$1)/10,0)*10,[1]Hugst!$R$4:$W$4,0))))</f>
        <v>574.03592352740202</v>
      </c>
      <c r="P123">
        <f ca="1">IF($C123-P$1&lt;År1,0,O122*(1-VLOOKUP($A123,[1]Hugst!$R$5:$W$9,MATCH(ROUNDUP((P$1)/10,0)*10,[1]Hugst!$R$4:$W$4,0))))</f>
        <v>573.05609201882396</v>
      </c>
      <c r="Q123">
        <f ca="1">IF($C123-Q$1&lt;År1,0,P122*(1-VLOOKUP($A123,[1]Hugst!$R$5:$W$9,MATCH(ROUNDUP((Q$1)/10,0)*10,[1]Hugst!$R$4:$W$4,0))))</f>
        <v>572.07994890423197</v>
      </c>
      <c r="R123">
        <f ca="1">IF($C123-R$1&lt;År1,0,Q122*(1-VLOOKUP($A123,[1]Hugst!$R$5:$W$9,MATCH(ROUNDUP((R$1)/10,0)*10,[1]Hugst!$R$4:$W$4,0))))</f>
        <v>571.10749621790626</v>
      </c>
      <c r="S123">
        <f ca="1">IF($C123-S$1&lt;År1,0,R122*(1-VLOOKUP($A123,[1]Hugst!$R$5:$W$9,MATCH(ROUNDUP((S$1)/10,0)*10,[1]Hugst!$R$4:$W$4,0))))</f>
        <v>570.13873601772343</v>
      </c>
      <c r="T123">
        <f ca="1">IF($C123-T$1&lt;År1,0,S122*(1-VLOOKUP($A123,[1]Hugst!$R$5:$W$9,MATCH(ROUNDUP((T$1)/10,0)*10,[1]Hugst!$R$4:$W$4,0))))</f>
        <v>569.17367038527232</v>
      </c>
      <c r="U123">
        <f ca="1">IF($C123-U$1&lt;År1,0,T122*(1-VLOOKUP($A123,[1]Hugst!$R$5:$W$9,MATCH(ROUNDUP((U$1)/10,0)*10,[1]Hugst!$R$4:$W$4,0))))</f>
        <v>568.21230142592105</v>
      </c>
      <c r="V123">
        <f ca="1">IF($C123-V$1&lt;År1,0,U122*(1-VLOOKUP($A123,[1]Hugst!$R$5:$W$9,MATCH(ROUNDUP((V$1)/10,0)*10,[1]Hugst!$R$4:$W$4,0))))</f>
        <v>567.25463126883915</v>
      </c>
      <c r="W123">
        <f ca="1">IF($C123-W$1&lt;År1,0,V122*(1-VLOOKUP($A123,[1]Hugst!$R$5:$W$9,MATCH(ROUNDUP((W$1)/10,0)*10,[1]Hugst!$R$4:$W$4,0))))</f>
        <v>566.30066206708739</v>
      </c>
      <c r="X123">
        <f ca="1">IF($C123-X$1&lt;År1,0,W122*(1-VLOOKUP($A123,[1]Hugst!$R$5:$W$9,MATCH(ROUNDUP((X$1)/10,0)*10,[1]Hugst!$R$4:$W$4,0))))</f>
        <v>831.36725830482465</v>
      </c>
      <c r="Y123">
        <f ca="1">IF($C123-Y$1&lt;År1,0,X122*(1-VLOOKUP($A123,[1]Hugst!$R$5:$W$9,MATCH(ROUNDUP((Y$1)/10,0)*10,[1]Hugst!$R$4:$W$4,0))))</f>
        <v>830.01490913468569</v>
      </c>
      <c r="Z123">
        <f ca="1">IF($C123-Z$1&lt;År1,0,Y122*(1-VLOOKUP($A123,[1]Hugst!$R$5:$W$9,MATCH(ROUNDUP((Z$1)/10,0)*10,[1]Hugst!$R$4:$W$4,0))))</f>
        <v>829.77570559861147</v>
      </c>
      <c r="AA123">
        <f ca="1">IF($C123-AA$1&lt;År1,0,Z122*(1-VLOOKUP($A123,[1]Hugst!$R$5:$W$9,MATCH(ROUNDUP((AA$1)/10,0)*10,[1]Hugst!$R$4:$W$4,0))))</f>
        <v>829.54086164498131</v>
      </c>
      <c r="AB123">
        <f ca="1">IF($C123-AB$1&lt;År1,0,AA122*(1-VLOOKUP($A123,[1]Hugst!$R$5:$W$9,MATCH(ROUNDUP((AB$1)/10,0)*10,[1]Hugst!$R$4:$W$4,0))))</f>
        <v>829.3103826328246</v>
      </c>
      <c r="AC123">
        <f ca="1">IF($C123-AC$1&lt;År1,0,AB122*(1-VLOOKUP($A123,[1]Hugst!$R$5:$W$9,MATCH(ROUNDUP((AC$1)/10,0)*10,[1]Hugst!$R$4:$W$4,0))))</f>
        <v>829.08427395420438</v>
      </c>
      <c r="AD123">
        <f ca="1">IF($C123-AD$1&lt;År1,0,AC122*(1-VLOOKUP($A123,[1]Hugst!$R$5:$W$9,MATCH(ROUNDUP((AD$1)/10,0)*10,[1]Hugst!$R$4:$W$4,0))))</f>
        <v>828.86254103443969</v>
      </c>
      <c r="AE123">
        <f ca="1">IF($C123-AE$1&lt;År1,0,AD122*(1-VLOOKUP($A123,[1]Hugst!$R$5:$W$9,MATCH(ROUNDUP((AE$1)/10,0)*10,[1]Hugst!$R$4:$W$4,0))))</f>
        <v>828.64518933204897</v>
      </c>
      <c r="AF123">
        <f ca="1">IF($C123-AF$1&lt;År1,0,AE122*(1-VLOOKUP($A123,[1]Hugst!$R$5:$W$9,MATCH(ROUNDUP((AF$1)/10,0)*10,[1]Hugst!$R$4:$W$4,0))))</f>
        <v>828.43222433894334</v>
      </c>
      <c r="AG123">
        <f ca="1">IF($C123-AG$1&lt;År1,0,AF122*(1-VLOOKUP($A123,[1]Hugst!$R$5:$W$9,MATCH(ROUNDUP((AG$1)/10,0)*10,[1]Hugst!$R$4:$W$4,0))))</f>
        <v>828.22365158041589</v>
      </c>
      <c r="AH123">
        <f ca="1">IF($C123-AH$1&lt;År1,0,AG122*(1-VLOOKUP($A123,[1]Hugst!$R$5:$W$9,MATCH(ROUNDUP((AH$1)/10,0)*10,[1]Hugst!$R$4:$W$4,0))))</f>
        <v>828.01947661529823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220.23323921071733</v>
      </c>
      <c r="E124">
        <f t="shared" ca="1" si="2"/>
        <v>23.497645753195684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573.3605145935428</v>
      </c>
      <c r="G124">
        <f ca="1">IF($C124-G$1&lt;År1,0,F123*(1-VLOOKUP($A124,[1]Hugst!$R$5:$W$9,MATCH(ROUNDUP((G$1)/10,0)*10,[1]Hugst!$R$4:$W$4,0))))</f>
        <v>573.45276258868967</v>
      </c>
      <c r="H124">
        <f ca="1">IF($C124-H$1&lt;År1,0,G123*(1-VLOOKUP($A124,[1]Hugst!$R$5:$W$9,MATCH(ROUNDUP((H$1)/10,0)*10,[1]Hugst!$R$4:$W$4,0))))</f>
        <v>573.54862365475333</v>
      </c>
      <c r="I124">
        <f ca="1">IF($C124-I$1&lt;År1,0,H123*(1-VLOOKUP($A124,[1]Hugst!$R$5:$W$9,MATCH(ROUNDUP((I$1)/10,0)*10,[1]Hugst!$R$4:$W$4,0))))</f>
        <v>573.64811738569301</v>
      </c>
      <c r="J124">
        <f ca="1">IF($C124-J$1&lt;År1,0,I123*(1-VLOOKUP($A124,[1]Hugst!$R$5:$W$9,MATCH(ROUNDUP((J$1)/10,0)*10,[1]Hugst!$R$4:$W$4,0))))</f>
        <v>573.75126347098853</v>
      </c>
      <c r="K124">
        <f ca="1">IF($C124-K$1&lt;År1,0,J123*(1-VLOOKUP($A124,[1]Hugst!$R$5:$W$9,MATCH(ROUNDUP((K$1)/10,0)*10,[1]Hugst!$R$4:$W$4,0))))</f>
        <v>573.85808169630877</v>
      </c>
      <c r="L124">
        <f ca="1">IF($C124-L$1&lt;År1,0,K123*(1-VLOOKUP($A124,[1]Hugst!$R$5:$W$9,MATCH(ROUNDUP((L$1)/10,0)*10,[1]Hugst!$R$4:$W$4,0))))</f>
        <v>573.96859194384638</v>
      </c>
      <c r="M124">
        <f ca="1">IF($C124-M$1&lt;År1,0,L123*(1-VLOOKUP($A124,[1]Hugst!$R$5:$W$9,MATCH(ROUNDUP((M$1)/10,0)*10,[1]Hugst!$R$4:$W$4,0))))</f>
        <v>574.08281419279251</v>
      </c>
      <c r="N124">
        <f ca="1">IF($C124-N$1&lt;År1,0,M123*(1-VLOOKUP($A124,[1]Hugst!$R$5:$W$9,MATCH(ROUNDUP((N$1)/10,0)*10,[1]Hugst!$R$4:$W$4,0))))</f>
        <v>574.20076851991348</v>
      </c>
      <c r="O124">
        <f ca="1">IF($C124-O$1&lt;År1,0,N123*(1-VLOOKUP($A124,[1]Hugst!$R$5:$W$9,MATCH(ROUNDUP((O$1)/10,0)*10,[1]Hugst!$R$4:$W$4,0))))</f>
        <v>574.32247509989452</v>
      </c>
      <c r="P124">
        <f ca="1">IF($C124-P$1&lt;År1,0,O123*(1-VLOOKUP($A124,[1]Hugst!$R$5:$W$9,MATCH(ROUNDUP((P$1)/10,0)*10,[1]Hugst!$R$4:$W$4,0))))</f>
        <v>573.16027550846195</v>
      </c>
      <c r="Q124">
        <f ca="1">IF($C124-Q$1&lt;År1,0,P123*(1-VLOOKUP($A124,[1]Hugst!$R$5:$W$9,MATCH(ROUNDUP((Q$1)/10,0)*10,[1]Hugst!$R$4:$W$4,0))))</f>
        <v>572.18193865811725</v>
      </c>
      <c r="R124">
        <f ca="1">IF($C124-R$1&lt;År1,0,Q123*(1-VLOOKUP($A124,[1]Hugst!$R$5:$W$9,MATCH(ROUNDUP((R$1)/10,0)*10,[1]Hugst!$R$4:$W$4,0))))</f>
        <v>571.20728457539497</v>
      </c>
      <c r="S124">
        <f ca="1">IF($C124-S$1&lt;År1,0,R123*(1-VLOOKUP($A124,[1]Hugst!$R$5:$W$9,MATCH(ROUNDUP((S$1)/10,0)*10,[1]Hugst!$R$4:$W$4,0))))</f>
        <v>570.23631529147212</v>
      </c>
      <c r="T124">
        <f ca="1">IF($C124-T$1&lt;År1,0,S123*(1-VLOOKUP($A124,[1]Hugst!$R$5:$W$9,MATCH(ROUNDUP((T$1)/10,0)*10,[1]Hugst!$R$4:$W$4,0))))</f>
        <v>569.2690328610862</v>
      </c>
      <c r="U124">
        <f ca="1">IF($C124-U$1&lt;År1,0,T123*(1-VLOOKUP($A124,[1]Hugst!$R$5:$W$9,MATCH(ROUNDUP((U$1)/10,0)*10,[1]Hugst!$R$4:$W$4,0))))</f>
        <v>568.30543936265065</v>
      </c>
      <c r="V124">
        <f ca="1">IF($C124-V$1&lt;År1,0,U123*(1-VLOOKUP($A124,[1]Hugst!$R$5:$W$9,MATCH(ROUNDUP((V$1)/10,0)*10,[1]Hugst!$R$4:$W$4,0))))</f>
        <v>567.34553689832217</v>
      </c>
      <c r="W124">
        <f ca="1">IF($C124-W$1&lt;År1,0,V123*(1-VLOOKUP($A124,[1]Hugst!$R$5:$W$9,MATCH(ROUNDUP((W$1)/10,0)*10,[1]Hugst!$R$4:$W$4,0))))</f>
        <v>566.38932759402223</v>
      </c>
      <c r="X124">
        <f ca="1">IF($C124-X$1&lt;År1,0,W123*(1-VLOOKUP($A124,[1]Hugst!$R$5:$W$9,MATCH(ROUNDUP((X$1)/10,0)*10,[1]Hugst!$R$4:$W$4,0))))</f>
        <v>565.43681359952745</v>
      </c>
      <c r="Y124">
        <f ca="1">IF($C124-Y$1&lt;År1,0,X123*(1-VLOOKUP($A124,[1]Hugst!$R$5:$W$9,MATCH(ROUNDUP((Y$1)/10,0)*10,[1]Hugst!$R$4:$W$4,0))))</f>
        <v>830.09907096164773</v>
      </c>
      <c r="Z124">
        <f ca="1">IF($C124-Z$1&lt;År1,0,Y123*(1-VLOOKUP($A124,[1]Hugst!$R$5:$W$9,MATCH(ROUNDUP((Z$1)/10,0)*10,[1]Hugst!$R$4:$W$4,0))))</f>
        <v>828.57293408068051</v>
      </c>
      <c r="AA124">
        <f ca="1">IF($C124-AA$1&lt;År1,0,Z123*(1-VLOOKUP($A124,[1]Hugst!$R$5:$W$9,MATCH(ROUNDUP((AA$1)/10,0)*10,[1]Hugst!$R$4:$W$4,0))))</f>
        <v>828.33414611007152</v>
      </c>
      <c r="AB124">
        <f ca="1">IF($C124-AB$1&lt;År1,0,AA123*(1-VLOOKUP($A124,[1]Hugst!$R$5:$W$9,MATCH(ROUNDUP((AB$1)/10,0)*10,[1]Hugst!$R$4:$W$4,0))))</f>
        <v>828.09971014805569</v>
      </c>
      <c r="AC124">
        <f ca="1">IF($C124-AC$1&lt;År1,0,AB123*(1-VLOOKUP($A124,[1]Hugst!$R$5:$W$9,MATCH(ROUNDUP((AC$1)/10,0)*10,[1]Hugst!$R$4:$W$4,0))))</f>
        <v>827.86963154435227</v>
      </c>
      <c r="AD124">
        <f ca="1">IF($C124-AD$1&lt;År1,0,AC123*(1-VLOOKUP($A124,[1]Hugst!$R$5:$W$9,MATCH(ROUNDUP((AD$1)/10,0)*10,[1]Hugst!$R$4:$W$4,0))))</f>
        <v>827.64391568165684</v>
      </c>
      <c r="AE124">
        <f ca="1">IF($C124-AE$1&lt;År1,0,AD123*(1-VLOOKUP($A124,[1]Hugst!$R$5:$W$9,MATCH(ROUNDUP((AE$1)/10,0)*10,[1]Hugst!$R$4:$W$4,0))))</f>
        <v>827.42256797586288</v>
      </c>
      <c r="AF124">
        <f ca="1">IF($C124-AF$1&lt;År1,0,AE123*(1-VLOOKUP($A124,[1]Hugst!$R$5:$W$9,MATCH(ROUNDUP((AF$1)/10,0)*10,[1]Hugst!$R$4:$W$4,0))))</f>
        <v>827.20559387600599</v>
      </c>
      <c r="AG124">
        <f ca="1">IF($C124-AG$1&lt;År1,0,AF123*(1-VLOOKUP($A124,[1]Hugst!$R$5:$W$9,MATCH(ROUNDUP((AG$1)/10,0)*10,[1]Hugst!$R$4:$W$4,0))))</f>
        <v>826.99299886445613</v>
      </c>
      <c r="AH124">
        <f ca="1">IF($C124-AH$1&lt;År1,0,AG123*(1-VLOOKUP($A124,[1]Hugst!$R$5:$W$9,MATCH(ROUNDUP((AH$1)/10,0)*10,[1]Hugst!$R$4:$W$4,0))))</f>
        <v>826.78478845690745</v>
      </c>
      <c r="AI124">
        <f ca="1">IF($C124-AI$1&lt;År1,0,AH123*(1-VLOOKUP($A124,[1]Hugst!$R$5:$W$9,MATCH(ROUNDUP((AI$1)/10,0)*10,[1]Hugst!$R$4:$W$4,0))))</f>
        <v>826.58096820253434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219.13207301466082</v>
      </c>
      <c r="E125">
        <f ca="1">IF(C125=2020,SUM(G125:AJ125),SUM(F124:AJ124)-SUM(G125:AJ125))</f>
        <v>23.81021185670761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572.57191450099822</v>
      </c>
      <c r="G125">
        <f ca="1">IF($C125-G$1&lt;År1,0,F124*(1-VLOOKUP($A125,[1]Hugst!$R$5:$W$9,MATCH(ROUNDUP((G$1)/10,0)*10,[1]Hugst!$R$4:$W$4,0))))</f>
        <v>573.3605145935428</v>
      </c>
      <c r="H125">
        <f ca="1">IF($C125-H$1&lt;År1,0,G124*(1-VLOOKUP($A125,[1]Hugst!$R$5:$W$9,MATCH(ROUNDUP((H$1)/10,0)*10,[1]Hugst!$R$4:$W$4,0))))</f>
        <v>573.45276258868967</v>
      </c>
      <c r="I125">
        <f ca="1">IF($C125-I$1&lt;År1,0,H124*(1-VLOOKUP($A125,[1]Hugst!$R$5:$W$9,MATCH(ROUNDUP((I$1)/10,0)*10,[1]Hugst!$R$4:$W$4,0))))</f>
        <v>573.54862365475333</v>
      </c>
      <c r="J125">
        <f ca="1">IF($C125-J$1&lt;År1,0,I124*(1-VLOOKUP($A125,[1]Hugst!$R$5:$W$9,MATCH(ROUNDUP((J$1)/10,0)*10,[1]Hugst!$R$4:$W$4,0))))</f>
        <v>573.64811738569301</v>
      </c>
      <c r="K125">
        <f ca="1">IF($C125-K$1&lt;År1,0,J124*(1-VLOOKUP($A125,[1]Hugst!$R$5:$W$9,MATCH(ROUNDUP((K$1)/10,0)*10,[1]Hugst!$R$4:$W$4,0))))</f>
        <v>573.75126347098853</v>
      </c>
      <c r="L125">
        <f ca="1">IF($C125-L$1&lt;År1,0,K124*(1-VLOOKUP($A125,[1]Hugst!$R$5:$W$9,MATCH(ROUNDUP((L$1)/10,0)*10,[1]Hugst!$R$4:$W$4,0))))</f>
        <v>573.85808169630877</v>
      </c>
      <c r="M125">
        <f ca="1">IF($C125-M$1&lt;År1,0,L124*(1-VLOOKUP($A125,[1]Hugst!$R$5:$W$9,MATCH(ROUNDUP((M$1)/10,0)*10,[1]Hugst!$R$4:$W$4,0))))</f>
        <v>573.96859194384638</v>
      </c>
      <c r="N125">
        <f ca="1">IF($C125-N$1&lt;År1,0,M124*(1-VLOOKUP($A125,[1]Hugst!$R$5:$W$9,MATCH(ROUNDUP((N$1)/10,0)*10,[1]Hugst!$R$4:$W$4,0))))</f>
        <v>574.08281419279251</v>
      </c>
      <c r="O125">
        <f ca="1">IF($C125-O$1&lt;År1,0,N124*(1-VLOOKUP($A125,[1]Hugst!$R$5:$W$9,MATCH(ROUNDUP((O$1)/10,0)*10,[1]Hugst!$R$4:$W$4,0))))</f>
        <v>574.20076851991348</v>
      </c>
      <c r="P125">
        <f ca="1">IF($C125-P$1&lt;År1,0,O124*(1-VLOOKUP($A125,[1]Hugst!$R$5:$W$9,MATCH(ROUNDUP((P$1)/10,0)*10,[1]Hugst!$R$4:$W$4,0))))</f>
        <v>573.44638996838614</v>
      </c>
      <c r="Q125">
        <f ca="1">IF($C125-Q$1&lt;År1,0,P124*(1-VLOOKUP($A125,[1]Hugst!$R$5:$W$9,MATCH(ROUNDUP((Q$1)/10,0)*10,[1]Hugst!$R$4:$W$4,0))))</f>
        <v>572.28596322378803</v>
      </c>
      <c r="R125">
        <f ca="1">IF($C125-R$1&lt;År1,0,Q124*(1-VLOOKUP($A125,[1]Hugst!$R$5:$W$9,MATCH(ROUNDUP((R$1)/10,0)*10,[1]Hugst!$R$4:$W$4,0))))</f>
        <v>571.30911875168954</v>
      </c>
      <c r="S125">
        <f ca="1">IF($C125-S$1&lt;År1,0,R124*(1-VLOOKUP($A125,[1]Hugst!$R$5:$W$9,MATCH(ROUNDUP((S$1)/10,0)*10,[1]Hugst!$R$4:$W$4,0))))</f>
        <v>570.3359514294325</v>
      </c>
      <c r="T125">
        <f ca="1">IF($C125-T$1&lt;År1,0,S124*(1-VLOOKUP($A125,[1]Hugst!$R$5:$W$9,MATCH(ROUNDUP((T$1)/10,0)*10,[1]Hugst!$R$4:$W$4,0))))</f>
        <v>569.36646328509528</v>
      </c>
      <c r="U125">
        <f ca="1">IF($C125-U$1&lt;År1,0,T124*(1-VLOOKUP($A125,[1]Hugst!$R$5:$W$9,MATCH(ROUNDUP((U$1)/10,0)*10,[1]Hugst!$R$4:$W$4,0))))</f>
        <v>568.40065637028113</v>
      </c>
      <c r="V125">
        <f ca="1">IF($C125-V$1&lt;År1,0,U124*(1-VLOOKUP($A125,[1]Hugst!$R$5:$W$9,MATCH(ROUNDUP((V$1)/10,0)*10,[1]Hugst!$R$4:$W$4,0))))</f>
        <v>567.43853276023299</v>
      </c>
      <c r="W125">
        <f ca="1">IF($C125-W$1&lt;År1,0,V124*(1-VLOOKUP($A125,[1]Hugst!$R$5:$W$9,MATCH(ROUNDUP((W$1)/10,0)*10,[1]Hugst!$R$4:$W$4,0))))</f>
        <v>566.48009455390093</v>
      </c>
      <c r="X125">
        <f ca="1">IF($C125-X$1&lt;År1,0,W124*(1-VLOOKUP($A125,[1]Hugst!$R$5:$W$9,MATCH(ROUNDUP((X$1)/10,0)*10,[1]Hugst!$R$4:$W$4,0))))</f>
        <v>565.52534387396349</v>
      </c>
      <c r="Y125">
        <f ca="1">IF($C125-Y$1&lt;År1,0,X124*(1-VLOOKUP($A125,[1]Hugst!$R$5:$W$9,MATCH(ROUNDUP((Y$1)/10,0)*10,[1]Hugst!$R$4:$W$4,0))))</f>
        <v>564.574282866918</v>
      </c>
      <c r="Z125">
        <f ca="1">IF($C125-Z$1&lt;År1,0,Y124*(1-VLOOKUP($A125,[1]Hugst!$R$5:$W$9,MATCH(ROUNDUP((Z$1)/10,0)*10,[1]Hugst!$R$4:$W$4,0))))</f>
        <v>828.6569496942991</v>
      </c>
      <c r="AA125">
        <f ca="1">IF($C125-AA$1&lt;År1,0,Z124*(1-VLOOKUP($A125,[1]Hugst!$R$5:$W$9,MATCH(ROUNDUP((AA$1)/10,0)*10,[1]Hugst!$R$4:$W$4,0))))</f>
        <v>827.13346415282842</v>
      </c>
      <c r="AB125">
        <f ca="1">IF($C125-AB$1&lt;År1,0,AA124*(1-VLOOKUP($A125,[1]Hugst!$R$5:$W$9,MATCH(ROUNDUP((AB$1)/10,0)*10,[1]Hugst!$R$4:$W$4,0))))</f>
        <v>826.89509102572777</v>
      </c>
      <c r="AC125">
        <f ca="1">IF($C125-AC$1&lt;År1,0,AB124*(1-VLOOKUP($A125,[1]Hugst!$R$5:$W$9,MATCH(ROUNDUP((AC$1)/10,0)*10,[1]Hugst!$R$4:$W$4,0))))</f>
        <v>826.66106234652727</v>
      </c>
      <c r="AD125">
        <f ca="1">IF($C125-AD$1&lt;År1,0,AC124*(1-VLOOKUP($A125,[1]Hugst!$R$5:$W$9,MATCH(ROUNDUP((AD$1)/10,0)*10,[1]Hugst!$R$4:$W$4,0))))</f>
        <v>826.43138345565228</v>
      </c>
      <c r="AE125">
        <f ca="1">IF($C125-AE$1&lt;År1,0,AD124*(1-VLOOKUP($A125,[1]Hugst!$R$5:$W$9,MATCH(ROUNDUP((AE$1)/10,0)*10,[1]Hugst!$R$4:$W$4,0))))</f>
        <v>826.20605972644717</v>
      </c>
      <c r="AF125">
        <f ca="1">IF($C125-AF$1&lt;År1,0,AE124*(1-VLOOKUP($A125,[1]Hugst!$R$5:$W$9,MATCH(ROUNDUP((AF$1)/10,0)*10,[1]Hugst!$R$4:$W$4,0))))</f>
        <v>825.98509656539625</v>
      </c>
      <c r="AG125">
        <f ca="1">IF($C125-AG$1&lt;År1,0,AF124*(1-VLOOKUP($A125,[1]Hugst!$R$5:$W$9,MATCH(ROUNDUP((AG$1)/10,0)*10,[1]Hugst!$R$4:$W$4,0))))</f>
        <v>825.76849941206888</v>
      </c>
      <c r="AH125">
        <f ca="1">IF($C125-AH$1&lt;År1,0,AG124*(1-VLOOKUP($A125,[1]Hugst!$R$5:$W$9,MATCH(ROUNDUP((AH$1)/10,0)*10,[1]Hugst!$R$4:$W$4,0))))</f>
        <v>825.5562737393102</v>
      </c>
      <c r="AI125">
        <f ca="1">IF($C125-AI$1&lt;År1,0,AH124*(1-VLOOKUP($A125,[1]Hugst!$R$5:$W$9,MATCH(ROUNDUP((AI$1)/10,0)*10,[1]Hugst!$R$4:$W$4,0))))</f>
        <v>825.34842505323229</v>
      </c>
      <c r="AJ125">
        <f ca="1">IF($C125-AJ$1&lt;År1,0,AI124*(1-VLOOKUP($A125,[1]Hugst!$R$5:$W$9,MATCH(ROUNDUP((AJ$1)/10,0)*10,[1]Hugst!$R$4:$W$4,0))))</f>
        <v>825.84545123930332</v>
      </c>
      <c r="AL125">
        <f ca="1">SUM(F125:AJ125)</f>
        <v>20516.094006042003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0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0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>
        <f ca="1">IF($C127-G$1&lt;År1,0,F126*(1-VLOOKUP($A127,[1]Hugst!$R$5:$W$9,MATCH(ROUNDUP((G$1)/10,0)*10,[1]Hugst!$R$4:$W$4,0))))</f>
        <v>0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613845.53800472233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0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>
        <f ca="1">IF($C128-G$1&lt;År1,0,F127*(1-VLOOKUP($A128,[1]Hugst!$R$5:$W$9,MATCH(ROUNDUP((G$1)/10,0)*10,[1]Hugst!$R$4:$W$4,0))))</f>
        <v>0</v>
      </c>
      <c r="H128">
        <f ca="1">IF($C128-H$1&lt;År1,0,G127*(1-VLOOKUP($A128,[1]Hugst!$R$5:$W$9,MATCH(ROUNDUP((H$1)/10,0)*10,[1]Hugst!$R$4:$W$4,0))))</f>
        <v>0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0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>
        <f ca="1">IF($C129-G$1&lt;År1,0,F128*(1-VLOOKUP($A129,[1]Hugst!$R$5:$W$9,MATCH(ROUNDUP((G$1)/10,0)*10,[1]Hugst!$R$4:$W$4,0))))</f>
        <v>0</v>
      </c>
      <c r="H129">
        <f ca="1">IF($C129-H$1&lt;År1,0,G128*(1-VLOOKUP($A129,[1]Hugst!$R$5:$W$9,MATCH(ROUNDUP((H$1)/10,0)*10,[1]Hugst!$R$4:$W$4,0))))</f>
        <v>0</v>
      </c>
      <c r="I129">
        <f ca="1">IF($C129-I$1&lt;År1,0,H128*(1-VLOOKUP($A129,[1]Hugst!$R$5:$W$9,MATCH(ROUNDUP((I$1)/10,0)*10,[1]Hugst!$R$4:$W$4,0))))</f>
        <v>0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0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>
        <f ca="1">IF($C130-G$1&lt;År1,0,F129*(1-VLOOKUP($A130,[1]Hugst!$R$5:$W$9,MATCH(ROUNDUP((G$1)/10,0)*10,[1]Hugst!$R$4:$W$4,0))))</f>
        <v>0</v>
      </c>
      <c r="H130">
        <f ca="1">IF($C130-H$1&lt;År1,0,G129*(1-VLOOKUP($A130,[1]Hugst!$R$5:$W$9,MATCH(ROUNDUP((H$1)/10,0)*10,[1]Hugst!$R$4:$W$4,0))))</f>
        <v>0</v>
      </c>
      <c r="I130">
        <f ca="1">IF($C130-I$1&lt;År1,0,H129*(1-VLOOKUP($A130,[1]Hugst!$R$5:$W$9,MATCH(ROUNDUP((I$1)/10,0)*10,[1]Hugst!$R$4:$W$4,0))))</f>
        <v>0</v>
      </c>
      <c r="J130">
        <f ca="1">IF($C130-J$1&lt;År1,0,I129*(1-VLOOKUP($A130,[1]Hugst!$R$5:$W$9,MATCH(ROUNDUP((J$1)/10,0)*10,[1]Hugst!$R$4:$W$4,0))))</f>
        <v>0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0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>
        <f ca="1">IF($C131-G$1&lt;År1,0,F130*(1-VLOOKUP($A131,[1]Hugst!$R$5:$W$9,MATCH(ROUNDUP((G$1)/10,0)*10,[1]Hugst!$R$4:$W$4,0))))</f>
        <v>0</v>
      </c>
      <c r="H131">
        <f ca="1">IF($C131-H$1&lt;År1,0,G130*(1-VLOOKUP($A131,[1]Hugst!$R$5:$W$9,MATCH(ROUNDUP((H$1)/10,0)*10,[1]Hugst!$R$4:$W$4,0))))</f>
        <v>0</v>
      </c>
      <c r="I131">
        <f ca="1">IF($C131-I$1&lt;År1,0,H130*(1-VLOOKUP($A131,[1]Hugst!$R$5:$W$9,MATCH(ROUNDUP((I$1)/10,0)*10,[1]Hugst!$R$4:$W$4,0))))</f>
        <v>0</v>
      </c>
      <c r="J131">
        <f ca="1">IF($C131-J$1&lt;År1,0,I130*(1-VLOOKUP($A131,[1]Hugst!$R$5:$W$9,MATCH(ROUNDUP((J$1)/10,0)*10,[1]Hugst!$R$4:$W$4,0))))</f>
        <v>0</v>
      </c>
      <c r="K131">
        <f ca="1">IF($C131-K$1&lt;År1,0,J130*(1-VLOOKUP($A131,[1]Hugst!$R$5:$W$9,MATCH(ROUNDUP((K$1)/10,0)*10,[1]Hugst!$R$4:$W$4,0))))</f>
        <v>0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0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>
        <f ca="1">IF($C132-G$1&lt;År1,0,F131*(1-VLOOKUP($A132,[1]Hugst!$R$5:$W$9,MATCH(ROUNDUP((G$1)/10,0)*10,[1]Hugst!$R$4:$W$4,0))))</f>
        <v>0</v>
      </c>
      <c r="H132">
        <f ca="1">IF($C132-H$1&lt;År1,0,G131*(1-VLOOKUP($A132,[1]Hugst!$R$5:$W$9,MATCH(ROUNDUP((H$1)/10,0)*10,[1]Hugst!$R$4:$W$4,0))))</f>
        <v>0</v>
      </c>
      <c r="I132">
        <f ca="1">IF($C132-I$1&lt;År1,0,H131*(1-VLOOKUP($A132,[1]Hugst!$R$5:$W$9,MATCH(ROUNDUP((I$1)/10,0)*10,[1]Hugst!$R$4:$W$4,0))))</f>
        <v>0</v>
      </c>
      <c r="J132">
        <f ca="1">IF($C132-J$1&lt;År1,0,I131*(1-VLOOKUP($A132,[1]Hugst!$R$5:$W$9,MATCH(ROUNDUP((J$1)/10,0)*10,[1]Hugst!$R$4:$W$4,0))))</f>
        <v>0</v>
      </c>
      <c r="K132">
        <f ca="1">IF($C132-K$1&lt;År1,0,J131*(1-VLOOKUP($A132,[1]Hugst!$R$5:$W$9,MATCH(ROUNDUP((K$1)/10,0)*10,[1]Hugst!$R$4:$W$4,0))))</f>
        <v>0</v>
      </c>
      <c r="L132">
        <f ca="1">IF($C132-L$1&lt;År1,0,K131*(1-VLOOKUP($A132,[1]Hugst!$R$5:$W$9,MATCH(ROUNDUP((L$1)/10,0)*10,[1]Hugst!$R$4:$W$4,0))))</f>
        <v>0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0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>
        <f ca="1">IF($C133-G$1&lt;År1,0,F132*(1-VLOOKUP($A133,[1]Hugst!$R$5:$W$9,MATCH(ROUNDUP((G$1)/10,0)*10,[1]Hugst!$R$4:$W$4,0))))</f>
        <v>0</v>
      </c>
      <c r="H133">
        <f ca="1">IF($C133-H$1&lt;År1,0,G132*(1-VLOOKUP($A133,[1]Hugst!$R$5:$W$9,MATCH(ROUNDUP((H$1)/10,0)*10,[1]Hugst!$R$4:$W$4,0))))</f>
        <v>0</v>
      </c>
      <c r="I133">
        <f ca="1">IF($C133-I$1&lt;År1,0,H132*(1-VLOOKUP($A133,[1]Hugst!$R$5:$W$9,MATCH(ROUNDUP((I$1)/10,0)*10,[1]Hugst!$R$4:$W$4,0))))</f>
        <v>0</v>
      </c>
      <c r="J133">
        <f ca="1">IF($C133-J$1&lt;År1,0,I132*(1-VLOOKUP($A133,[1]Hugst!$R$5:$W$9,MATCH(ROUNDUP((J$1)/10,0)*10,[1]Hugst!$R$4:$W$4,0))))</f>
        <v>0</v>
      </c>
      <c r="K133">
        <f ca="1">IF($C133-K$1&lt;År1,0,J132*(1-VLOOKUP($A133,[1]Hugst!$R$5:$W$9,MATCH(ROUNDUP((K$1)/10,0)*10,[1]Hugst!$R$4:$W$4,0))))</f>
        <v>0</v>
      </c>
      <c r="L133">
        <f ca="1">IF($C133-L$1&lt;År1,0,K132*(1-VLOOKUP($A133,[1]Hugst!$R$5:$W$9,MATCH(ROUNDUP((L$1)/10,0)*10,[1]Hugst!$R$4:$W$4,0))))</f>
        <v>0</v>
      </c>
      <c r="M133">
        <f ca="1">IF($C133-M$1&lt;År1,0,L132*(1-VLOOKUP($A133,[1]Hugst!$R$5:$W$9,MATCH(ROUNDUP((M$1)/10,0)*10,[1]Hugst!$R$4:$W$4,0))))</f>
        <v>0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0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>
        <f ca="1">IF($C134-G$1&lt;År1,0,F133*(1-VLOOKUP($A134,[1]Hugst!$R$5:$W$9,MATCH(ROUNDUP((G$1)/10,0)*10,[1]Hugst!$R$4:$W$4,0))))</f>
        <v>0</v>
      </c>
      <c r="H134">
        <f ca="1">IF($C134-H$1&lt;År1,0,G133*(1-VLOOKUP($A134,[1]Hugst!$R$5:$W$9,MATCH(ROUNDUP((H$1)/10,0)*10,[1]Hugst!$R$4:$W$4,0))))</f>
        <v>0</v>
      </c>
      <c r="I134">
        <f ca="1">IF($C134-I$1&lt;År1,0,H133*(1-VLOOKUP($A134,[1]Hugst!$R$5:$W$9,MATCH(ROUNDUP((I$1)/10,0)*10,[1]Hugst!$R$4:$W$4,0))))</f>
        <v>0</v>
      </c>
      <c r="J134">
        <f ca="1">IF($C134-J$1&lt;År1,0,I133*(1-VLOOKUP($A134,[1]Hugst!$R$5:$W$9,MATCH(ROUNDUP((J$1)/10,0)*10,[1]Hugst!$R$4:$W$4,0))))</f>
        <v>0</v>
      </c>
      <c r="K134">
        <f ca="1">IF($C134-K$1&lt;År1,0,J133*(1-VLOOKUP($A134,[1]Hugst!$R$5:$W$9,MATCH(ROUNDUP((K$1)/10,0)*10,[1]Hugst!$R$4:$W$4,0))))</f>
        <v>0</v>
      </c>
      <c r="L134">
        <f ca="1">IF($C134-L$1&lt;År1,0,K133*(1-VLOOKUP($A134,[1]Hugst!$R$5:$W$9,MATCH(ROUNDUP((L$1)/10,0)*10,[1]Hugst!$R$4:$W$4,0))))</f>
        <v>0</v>
      </c>
      <c r="M134">
        <f ca="1">IF($C134-M$1&lt;År1,0,L133*(1-VLOOKUP($A134,[1]Hugst!$R$5:$W$9,MATCH(ROUNDUP((M$1)/10,0)*10,[1]Hugst!$R$4:$W$4,0))))</f>
        <v>0</v>
      </c>
      <c r="N134">
        <f ca="1">IF($C134-N$1&lt;År1,0,M133*(1-VLOOKUP($A134,[1]Hugst!$R$5:$W$9,MATCH(ROUNDUP((N$1)/10,0)*10,[1]Hugst!$R$4:$W$4,0))))</f>
        <v>0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0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>
        <f ca="1">IF($C135-G$1&lt;År1,0,F134*(1-VLOOKUP($A135,[1]Hugst!$R$5:$W$9,MATCH(ROUNDUP((G$1)/10,0)*10,[1]Hugst!$R$4:$W$4,0))))</f>
        <v>0</v>
      </c>
      <c r="H135">
        <f ca="1">IF($C135-H$1&lt;År1,0,G134*(1-VLOOKUP($A135,[1]Hugst!$R$5:$W$9,MATCH(ROUNDUP((H$1)/10,0)*10,[1]Hugst!$R$4:$W$4,0))))</f>
        <v>0</v>
      </c>
      <c r="I135">
        <f ca="1">IF($C135-I$1&lt;År1,0,H134*(1-VLOOKUP($A135,[1]Hugst!$R$5:$W$9,MATCH(ROUNDUP((I$1)/10,0)*10,[1]Hugst!$R$4:$W$4,0))))</f>
        <v>0</v>
      </c>
      <c r="J135">
        <f ca="1">IF($C135-J$1&lt;År1,0,I134*(1-VLOOKUP($A135,[1]Hugst!$R$5:$W$9,MATCH(ROUNDUP((J$1)/10,0)*10,[1]Hugst!$R$4:$W$4,0))))</f>
        <v>0</v>
      </c>
      <c r="K135">
        <f ca="1">IF($C135-K$1&lt;År1,0,J134*(1-VLOOKUP($A135,[1]Hugst!$R$5:$W$9,MATCH(ROUNDUP((K$1)/10,0)*10,[1]Hugst!$R$4:$W$4,0))))</f>
        <v>0</v>
      </c>
      <c r="L135">
        <f ca="1">IF($C135-L$1&lt;År1,0,K134*(1-VLOOKUP($A135,[1]Hugst!$R$5:$W$9,MATCH(ROUNDUP((L$1)/10,0)*10,[1]Hugst!$R$4:$W$4,0))))</f>
        <v>0</v>
      </c>
      <c r="M135">
        <f ca="1">IF($C135-M$1&lt;År1,0,L134*(1-VLOOKUP($A135,[1]Hugst!$R$5:$W$9,MATCH(ROUNDUP((M$1)/10,0)*10,[1]Hugst!$R$4:$W$4,0))))</f>
        <v>0</v>
      </c>
      <c r="N135">
        <f ca="1">IF($C135-N$1&lt;År1,0,M134*(1-VLOOKUP($A135,[1]Hugst!$R$5:$W$9,MATCH(ROUNDUP((N$1)/10,0)*10,[1]Hugst!$R$4:$W$4,0))))</f>
        <v>0</v>
      </c>
      <c r="O135">
        <f ca="1">IF($C135-O$1&lt;År1,0,N134*(1-VLOOKUP($A135,[1]Hugst!$R$5:$W$9,MATCH(ROUNDUP((O$1)/10,0)*10,[1]Hugst!$R$4:$W$4,0))))</f>
        <v>0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0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>
        <f ca="1">IF($C136-G$1&lt;År1,0,F135*(1-VLOOKUP($A136,[1]Hugst!$R$5:$W$9,MATCH(ROUNDUP((G$1)/10,0)*10,[1]Hugst!$R$4:$W$4,0))))</f>
        <v>0</v>
      </c>
      <c r="H136">
        <f ca="1">IF($C136-H$1&lt;År1,0,G135*(1-VLOOKUP($A136,[1]Hugst!$R$5:$W$9,MATCH(ROUNDUP((H$1)/10,0)*10,[1]Hugst!$R$4:$W$4,0))))</f>
        <v>0</v>
      </c>
      <c r="I136">
        <f ca="1">IF($C136-I$1&lt;År1,0,H135*(1-VLOOKUP($A136,[1]Hugst!$R$5:$W$9,MATCH(ROUNDUP((I$1)/10,0)*10,[1]Hugst!$R$4:$W$4,0))))</f>
        <v>0</v>
      </c>
      <c r="J136">
        <f ca="1">IF($C136-J$1&lt;År1,0,I135*(1-VLOOKUP($A136,[1]Hugst!$R$5:$W$9,MATCH(ROUNDUP((J$1)/10,0)*10,[1]Hugst!$R$4:$W$4,0))))</f>
        <v>0</v>
      </c>
      <c r="K136">
        <f ca="1">IF($C136-K$1&lt;År1,0,J135*(1-VLOOKUP($A136,[1]Hugst!$R$5:$W$9,MATCH(ROUNDUP((K$1)/10,0)*10,[1]Hugst!$R$4:$W$4,0))))</f>
        <v>0</v>
      </c>
      <c r="L136">
        <f ca="1">IF($C136-L$1&lt;År1,0,K135*(1-VLOOKUP($A136,[1]Hugst!$R$5:$W$9,MATCH(ROUNDUP((L$1)/10,0)*10,[1]Hugst!$R$4:$W$4,0))))</f>
        <v>0</v>
      </c>
      <c r="M136">
        <f ca="1">IF($C136-M$1&lt;År1,0,L135*(1-VLOOKUP($A136,[1]Hugst!$R$5:$W$9,MATCH(ROUNDUP((M$1)/10,0)*10,[1]Hugst!$R$4:$W$4,0))))</f>
        <v>0</v>
      </c>
      <c r="N136">
        <f ca="1">IF($C136-N$1&lt;År1,0,M135*(1-VLOOKUP($A136,[1]Hugst!$R$5:$W$9,MATCH(ROUNDUP((N$1)/10,0)*10,[1]Hugst!$R$4:$W$4,0))))</f>
        <v>0</v>
      </c>
      <c r="O136">
        <f ca="1">IF($C136-O$1&lt;År1,0,N135*(1-VLOOKUP($A136,[1]Hugst!$R$5:$W$9,MATCH(ROUNDUP((O$1)/10,0)*10,[1]Hugst!$R$4:$W$4,0))))</f>
        <v>0</v>
      </c>
      <c r="P136">
        <f ca="1">IF($C136-P$1&lt;År1,0,O135*(1-VLOOKUP($A136,[1]Hugst!$R$5:$W$9,MATCH(ROUNDUP((P$1)/10,0)*10,[1]Hugst!$R$4:$W$4,0))))</f>
        <v>0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0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>
        <f ca="1">IF($C137-G$1&lt;År1,0,F136*(1-VLOOKUP($A137,[1]Hugst!$R$5:$W$9,MATCH(ROUNDUP((G$1)/10,0)*10,[1]Hugst!$R$4:$W$4,0))))</f>
        <v>0</v>
      </c>
      <c r="H137">
        <f ca="1">IF($C137-H$1&lt;År1,0,G136*(1-VLOOKUP($A137,[1]Hugst!$R$5:$W$9,MATCH(ROUNDUP((H$1)/10,0)*10,[1]Hugst!$R$4:$W$4,0))))</f>
        <v>0</v>
      </c>
      <c r="I137">
        <f ca="1">IF($C137-I$1&lt;År1,0,H136*(1-VLOOKUP($A137,[1]Hugst!$R$5:$W$9,MATCH(ROUNDUP((I$1)/10,0)*10,[1]Hugst!$R$4:$W$4,0))))</f>
        <v>0</v>
      </c>
      <c r="J137">
        <f ca="1">IF($C137-J$1&lt;År1,0,I136*(1-VLOOKUP($A137,[1]Hugst!$R$5:$W$9,MATCH(ROUNDUP((J$1)/10,0)*10,[1]Hugst!$R$4:$W$4,0))))</f>
        <v>0</v>
      </c>
      <c r="K137">
        <f ca="1">IF($C137-K$1&lt;År1,0,J136*(1-VLOOKUP($A137,[1]Hugst!$R$5:$W$9,MATCH(ROUNDUP((K$1)/10,0)*10,[1]Hugst!$R$4:$W$4,0))))</f>
        <v>0</v>
      </c>
      <c r="L137">
        <f ca="1">IF($C137-L$1&lt;År1,0,K136*(1-VLOOKUP($A137,[1]Hugst!$R$5:$W$9,MATCH(ROUNDUP((L$1)/10,0)*10,[1]Hugst!$R$4:$W$4,0))))</f>
        <v>0</v>
      </c>
      <c r="M137">
        <f ca="1">IF($C137-M$1&lt;År1,0,L136*(1-VLOOKUP($A137,[1]Hugst!$R$5:$W$9,MATCH(ROUNDUP((M$1)/10,0)*10,[1]Hugst!$R$4:$W$4,0))))</f>
        <v>0</v>
      </c>
      <c r="N137">
        <f ca="1">IF($C137-N$1&lt;År1,0,M136*(1-VLOOKUP($A137,[1]Hugst!$R$5:$W$9,MATCH(ROUNDUP((N$1)/10,0)*10,[1]Hugst!$R$4:$W$4,0))))</f>
        <v>0</v>
      </c>
      <c r="O137">
        <f ca="1">IF($C137-O$1&lt;År1,0,N136*(1-VLOOKUP($A137,[1]Hugst!$R$5:$W$9,MATCH(ROUNDUP((O$1)/10,0)*10,[1]Hugst!$R$4:$W$4,0))))</f>
        <v>0</v>
      </c>
      <c r="P137">
        <f ca="1">IF($C137-P$1&lt;År1,0,O136*(1-VLOOKUP($A137,[1]Hugst!$R$5:$W$9,MATCH(ROUNDUP((P$1)/10,0)*10,[1]Hugst!$R$4:$W$4,0))))</f>
        <v>0</v>
      </c>
      <c r="Q137">
        <f ca="1">IF($C137-Q$1&lt;År1,0,P136*(1-VLOOKUP($A137,[1]Hugst!$R$5:$W$9,MATCH(ROUNDUP((Q$1)/10,0)*10,[1]Hugst!$R$4:$W$4,0))))</f>
        <v>0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0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>
        <f ca="1">IF($C138-G$1&lt;År1,0,F137*(1-VLOOKUP($A138,[1]Hugst!$R$5:$W$9,MATCH(ROUNDUP((G$1)/10,0)*10,[1]Hugst!$R$4:$W$4,0))))</f>
        <v>0</v>
      </c>
      <c r="H138">
        <f ca="1">IF($C138-H$1&lt;År1,0,G137*(1-VLOOKUP($A138,[1]Hugst!$R$5:$W$9,MATCH(ROUNDUP((H$1)/10,0)*10,[1]Hugst!$R$4:$W$4,0))))</f>
        <v>0</v>
      </c>
      <c r="I138">
        <f ca="1">IF($C138-I$1&lt;År1,0,H137*(1-VLOOKUP($A138,[1]Hugst!$R$5:$W$9,MATCH(ROUNDUP((I$1)/10,0)*10,[1]Hugst!$R$4:$W$4,0))))</f>
        <v>0</v>
      </c>
      <c r="J138">
        <f ca="1">IF($C138-J$1&lt;År1,0,I137*(1-VLOOKUP($A138,[1]Hugst!$R$5:$W$9,MATCH(ROUNDUP((J$1)/10,0)*10,[1]Hugst!$R$4:$W$4,0))))</f>
        <v>0</v>
      </c>
      <c r="K138">
        <f ca="1">IF($C138-K$1&lt;År1,0,J137*(1-VLOOKUP($A138,[1]Hugst!$R$5:$W$9,MATCH(ROUNDUP((K$1)/10,0)*10,[1]Hugst!$R$4:$W$4,0))))</f>
        <v>0</v>
      </c>
      <c r="L138">
        <f ca="1">IF($C138-L$1&lt;År1,0,K137*(1-VLOOKUP($A138,[1]Hugst!$R$5:$W$9,MATCH(ROUNDUP((L$1)/10,0)*10,[1]Hugst!$R$4:$W$4,0))))</f>
        <v>0</v>
      </c>
      <c r="M138">
        <f ca="1">IF($C138-M$1&lt;År1,0,L137*(1-VLOOKUP($A138,[1]Hugst!$R$5:$W$9,MATCH(ROUNDUP((M$1)/10,0)*10,[1]Hugst!$R$4:$W$4,0))))</f>
        <v>0</v>
      </c>
      <c r="N138">
        <f ca="1">IF($C138-N$1&lt;År1,0,M137*(1-VLOOKUP($A138,[1]Hugst!$R$5:$W$9,MATCH(ROUNDUP((N$1)/10,0)*10,[1]Hugst!$R$4:$W$4,0))))</f>
        <v>0</v>
      </c>
      <c r="O138">
        <f ca="1">IF($C138-O$1&lt;År1,0,N137*(1-VLOOKUP($A138,[1]Hugst!$R$5:$W$9,MATCH(ROUNDUP((O$1)/10,0)*10,[1]Hugst!$R$4:$W$4,0))))</f>
        <v>0</v>
      </c>
      <c r="P138">
        <f ca="1">IF($C138-P$1&lt;År1,0,O137*(1-VLOOKUP($A138,[1]Hugst!$R$5:$W$9,MATCH(ROUNDUP((P$1)/10,0)*10,[1]Hugst!$R$4:$W$4,0))))</f>
        <v>0</v>
      </c>
      <c r="Q138">
        <f ca="1">IF($C138-Q$1&lt;År1,0,P137*(1-VLOOKUP($A138,[1]Hugst!$R$5:$W$9,MATCH(ROUNDUP((Q$1)/10,0)*10,[1]Hugst!$R$4:$W$4,0))))</f>
        <v>0</v>
      </c>
      <c r="R138">
        <f ca="1">IF($C138-R$1&lt;År1,0,Q137*(1-VLOOKUP($A138,[1]Hugst!$R$5:$W$9,MATCH(ROUNDUP((R$1)/10,0)*10,[1]Hugst!$R$4:$W$4,0))))</f>
        <v>0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0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>
        <f ca="1">IF($C139-G$1&lt;År1,0,F138*(1-VLOOKUP($A139,[1]Hugst!$R$5:$W$9,MATCH(ROUNDUP((G$1)/10,0)*10,[1]Hugst!$R$4:$W$4,0))))</f>
        <v>0</v>
      </c>
      <c r="H139">
        <f ca="1">IF($C139-H$1&lt;År1,0,G138*(1-VLOOKUP($A139,[1]Hugst!$R$5:$W$9,MATCH(ROUNDUP((H$1)/10,0)*10,[1]Hugst!$R$4:$W$4,0))))</f>
        <v>0</v>
      </c>
      <c r="I139">
        <f ca="1">IF($C139-I$1&lt;År1,0,H138*(1-VLOOKUP($A139,[1]Hugst!$R$5:$W$9,MATCH(ROUNDUP((I$1)/10,0)*10,[1]Hugst!$R$4:$W$4,0))))</f>
        <v>0</v>
      </c>
      <c r="J139">
        <f ca="1">IF($C139-J$1&lt;År1,0,I138*(1-VLOOKUP($A139,[1]Hugst!$R$5:$W$9,MATCH(ROUNDUP((J$1)/10,0)*10,[1]Hugst!$R$4:$W$4,0))))</f>
        <v>0</v>
      </c>
      <c r="K139">
        <f ca="1">IF($C139-K$1&lt;År1,0,J138*(1-VLOOKUP($A139,[1]Hugst!$R$5:$W$9,MATCH(ROUNDUP((K$1)/10,0)*10,[1]Hugst!$R$4:$W$4,0))))</f>
        <v>0</v>
      </c>
      <c r="L139">
        <f ca="1">IF($C139-L$1&lt;År1,0,K138*(1-VLOOKUP($A139,[1]Hugst!$R$5:$W$9,MATCH(ROUNDUP((L$1)/10,0)*10,[1]Hugst!$R$4:$W$4,0))))</f>
        <v>0</v>
      </c>
      <c r="M139">
        <f ca="1">IF($C139-M$1&lt;År1,0,L138*(1-VLOOKUP($A139,[1]Hugst!$R$5:$W$9,MATCH(ROUNDUP((M$1)/10,0)*10,[1]Hugst!$R$4:$W$4,0))))</f>
        <v>0</v>
      </c>
      <c r="N139">
        <f ca="1">IF($C139-N$1&lt;År1,0,M138*(1-VLOOKUP($A139,[1]Hugst!$R$5:$W$9,MATCH(ROUNDUP((N$1)/10,0)*10,[1]Hugst!$R$4:$W$4,0))))</f>
        <v>0</v>
      </c>
      <c r="O139">
        <f ca="1">IF($C139-O$1&lt;År1,0,N138*(1-VLOOKUP($A139,[1]Hugst!$R$5:$W$9,MATCH(ROUNDUP((O$1)/10,0)*10,[1]Hugst!$R$4:$W$4,0))))</f>
        <v>0</v>
      </c>
      <c r="P139">
        <f ca="1">IF($C139-P$1&lt;År1,0,O138*(1-VLOOKUP($A139,[1]Hugst!$R$5:$W$9,MATCH(ROUNDUP((P$1)/10,0)*10,[1]Hugst!$R$4:$W$4,0))))</f>
        <v>0</v>
      </c>
      <c r="Q139">
        <f ca="1">IF($C139-Q$1&lt;År1,0,P138*(1-VLOOKUP($A139,[1]Hugst!$R$5:$W$9,MATCH(ROUNDUP((Q$1)/10,0)*10,[1]Hugst!$R$4:$W$4,0))))</f>
        <v>0</v>
      </c>
      <c r="R139">
        <f ca="1">IF($C139-R$1&lt;År1,0,Q138*(1-VLOOKUP($A139,[1]Hugst!$R$5:$W$9,MATCH(ROUNDUP((R$1)/10,0)*10,[1]Hugst!$R$4:$W$4,0))))</f>
        <v>0</v>
      </c>
      <c r="S139">
        <f ca="1">IF($C139-S$1&lt;År1,0,R138*(1-VLOOKUP($A139,[1]Hugst!$R$5:$W$9,MATCH(ROUNDUP((S$1)/10,0)*10,[1]Hugst!$R$4:$W$4,0))))</f>
        <v>0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0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>
        <f ca="1">IF($C140-G$1&lt;År1,0,F139*(1-VLOOKUP($A140,[1]Hugst!$R$5:$W$9,MATCH(ROUNDUP((G$1)/10,0)*10,[1]Hugst!$R$4:$W$4,0))))</f>
        <v>0</v>
      </c>
      <c r="H140">
        <f ca="1">IF($C140-H$1&lt;År1,0,G139*(1-VLOOKUP($A140,[1]Hugst!$R$5:$W$9,MATCH(ROUNDUP((H$1)/10,0)*10,[1]Hugst!$R$4:$W$4,0))))</f>
        <v>0</v>
      </c>
      <c r="I140">
        <f ca="1">IF($C140-I$1&lt;År1,0,H139*(1-VLOOKUP($A140,[1]Hugst!$R$5:$W$9,MATCH(ROUNDUP((I$1)/10,0)*10,[1]Hugst!$R$4:$W$4,0))))</f>
        <v>0</v>
      </c>
      <c r="J140">
        <f ca="1">IF($C140-J$1&lt;År1,0,I139*(1-VLOOKUP($A140,[1]Hugst!$R$5:$W$9,MATCH(ROUNDUP((J$1)/10,0)*10,[1]Hugst!$R$4:$W$4,0))))</f>
        <v>0</v>
      </c>
      <c r="K140">
        <f ca="1">IF($C140-K$1&lt;År1,0,J139*(1-VLOOKUP($A140,[1]Hugst!$R$5:$W$9,MATCH(ROUNDUP((K$1)/10,0)*10,[1]Hugst!$R$4:$W$4,0))))</f>
        <v>0</v>
      </c>
      <c r="L140">
        <f ca="1">IF($C140-L$1&lt;År1,0,K139*(1-VLOOKUP($A140,[1]Hugst!$R$5:$W$9,MATCH(ROUNDUP((L$1)/10,0)*10,[1]Hugst!$R$4:$W$4,0))))</f>
        <v>0</v>
      </c>
      <c r="M140">
        <f ca="1">IF($C140-M$1&lt;År1,0,L139*(1-VLOOKUP($A140,[1]Hugst!$R$5:$W$9,MATCH(ROUNDUP((M$1)/10,0)*10,[1]Hugst!$R$4:$W$4,0))))</f>
        <v>0</v>
      </c>
      <c r="N140">
        <f ca="1">IF($C140-N$1&lt;År1,0,M139*(1-VLOOKUP($A140,[1]Hugst!$R$5:$W$9,MATCH(ROUNDUP((N$1)/10,0)*10,[1]Hugst!$R$4:$W$4,0))))</f>
        <v>0</v>
      </c>
      <c r="O140">
        <f ca="1">IF($C140-O$1&lt;År1,0,N139*(1-VLOOKUP($A140,[1]Hugst!$R$5:$W$9,MATCH(ROUNDUP((O$1)/10,0)*10,[1]Hugst!$R$4:$W$4,0))))</f>
        <v>0</v>
      </c>
      <c r="P140">
        <f ca="1">IF($C140-P$1&lt;År1,0,O139*(1-VLOOKUP($A140,[1]Hugst!$R$5:$W$9,MATCH(ROUNDUP((P$1)/10,0)*10,[1]Hugst!$R$4:$W$4,0))))</f>
        <v>0</v>
      </c>
      <c r="Q140">
        <f ca="1">IF($C140-Q$1&lt;År1,0,P139*(1-VLOOKUP($A140,[1]Hugst!$R$5:$W$9,MATCH(ROUNDUP((Q$1)/10,0)*10,[1]Hugst!$R$4:$W$4,0))))</f>
        <v>0</v>
      </c>
      <c r="R140">
        <f ca="1">IF($C140-R$1&lt;År1,0,Q139*(1-VLOOKUP($A140,[1]Hugst!$R$5:$W$9,MATCH(ROUNDUP((R$1)/10,0)*10,[1]Hugst!$R$4:$W$4,0))))</f>
        <v>0</v>
      </c>
      <c r="S140">
        <f ca="1">IF($C140-S$1&lt;År1,0,R139*(1-VLOOKUP($A140,[1]Hugst!$R$5:$W$9,MATCH(ROUNDUP((S$1)/10,0)*10,[1]Hugst!$R$4:$W$4,0))))</f>
        <v>0</v>
      </c>
      <c r="T140">
        <f ca="1">IF($C140-T$1&lt;År1,0,S139*(1-VLOOKUP($A140,[1]Hugst!$R$5:$W$9,MATCH(ROUNDUP((T$1)/10,0)*10,[1]Hugst!$R$4:$W$4,0))))</f>
        <v>0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0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>
        <f ca="1">IF($C141-G$1&lt;År1,0,F140*(1-VLOOKUP($A141,[1]Hugst!$R$5:$W$9,MATCH(ROUNDUP((G$1)/10,0)*10,[1]Hugst!$R$4:$W$4,0))))</f>
        <v>0</v>
      </c>
      <c r="H141">
        <f ca="1">IF($C141-H$1&lt;År1,0,G140*(1-VLOOKUP($A141,[1]Hugst!$R$5:$W$9,MATCH(ROUNDUP((H$1)/10,0)*10,[1]Hugst!$R$4:$W$4,0))))</f>
        <v>0</v>
      </c>
      <c r="I141">
        <f ca="1">IF($C141-I$1&lt;År1,0,H140*(1-VLOOKUP($A141,[1]Hugst!$R$5:$W$9,MATCH(ROUNDUP((I$1)/10,0)*10,[1]Hugst!$R$4:$W$4,0))))</f>
        <v>0</v>
      </c>
      <c r="J141">
        <f ca="1">IF($C141-J$1&lt;År1,0,I140*(1-VLOOKUP($A141,[1]Hugst!$R$5:$W$9,MATCH(ROUNDUP((J$1)/10,0)*10,[1]Hugst!$R$4:$W$4,0))))</f>
        <v>0</v>
      </c>
      <c r="K141">
        <f ca="1">IF($C141-K$1&lt;År1,0,J140*(1-VLOOKUP($A141,[1]Hugst!$R$5:$W$9,MATCH(ROUNDUP((K$1)/10,0)*10,[1]Hugst!$R$4:$W$4,0))))</f>
        <v>0</v>
      </c>
      <c r="L141">
        <f ca="1">IF($C141-L$1&lt;År1,0,K140*(1-VLOOKUP($A141,[1]Hugst!$R$5:$W$9,MATCH(ROUNDUP((L$1)/10,0)*10,[1]Hugst!$R$4:$W$4,0))))</f>
        <v>0</v>
      </c>
      <c r="M141">
        <f ca="1">IF($C141-M$1&lt;År1,0,L140*(1-VLOOKUP($A141,[1]Hugst!$R$5:$W$9,MATCH(ROUNDUP((M$1)/10,0)*10,[1]Hugst!$R$4:$W$4,0))))</f>
        <v>0</v>
      </c>
      <c r="N141">
        <f ca="1">IF($C141-N$1&lt;År1,0,M140*(1-VLOOKUP($A141,[1]Hugst!$R$5:$W$9,MATCH(ROUNDUP((N$1)/10,0)*10,[1]Hugst!$R$4:$W$4,0))))</f>
        <v>0</v>
      </c>
      <c r="O141">
        <f ca="1">IF($C141-O$1&lt;År1,0,N140*(1-VLOOKUP($A141,[1]Hugst!$R$5:$W$9,MATCH(ROUNDUP((O$1)/10,0)*10,[1]Hugst!$R$4:$W$4,0))))</f>
        <v>0</v>
      </c>
      <c r="P141">
        <f ca="1">IF($C141-P$1&lt;År1,0,O140*(1-VLOOKUP($A141,[1]Hugst!$R$5:$W$9,MATCH(ROUNDUP((P$1)/10,0)*10,[1]Hugst!$R$4:$W$4,0))))</f>
        <v>0</v>
      </c>
      <c r="Q141">
        <f ca="1">IF($C141-Q$1&lt;År1,0,P140*(1-VLOOKUP($A141,[1]Hugst!$R$5:$W$9,MATCH(ROUNDUP((Q$1)/10,0)*10,[1]Hugst!$R$4:$W$4,0))))</f>
        <v>0</v>
      </c>
      <c r="R141">
        <f ca="1">IF($C141-R$1&lt;År1,0,Q140*(1-VLOOKUP($A141,[1]Hugst!$R$5:$W$9,MATCH(ROUNDUP((R$1)/10,0)*10,[1]Hugst!$R$4:$W$4,0))))</f>
        <v>0</v>
      </c>
      <c r="S141">
        <f ca="1">IF($C141-S$1&lt;År1,0,R140*(1-VLOOKUP($A141,[1]Hugst!$R$5:$W$9,MATCH(ROUNDUP((S$1)/10,0)*10,[1]Hugst!$R$4:$W$4,0))))</f>
        <v>0</v>
      </c>
      <c r="T141">
        <f ca="1">IF($C141-T$1&lt;År1,0,S140*(1-VLOOKUP($A141,[1]Hugst!$R$5:$W$9,MATCH(ROUNDUP((T$1)/10,0)*10,[1]Hugst!$R$4:$W$4,0))))</f>
        <v>0</v>
      </c>
      <c r="U141">
        <f ca="1">IF($C141-U$1&lt;År1,0,T140*(1-VLOOKUP($A141,[1]Hugst!$R$5:$W$9,MATCH(ROUNDUP((U$1)/10,0)*10,[1]Hugst!$R$4:$W$4,0))))</f>
        <v>0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0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>
        <f ca="1">IF($C142-G$1&lt;År1,0,F141*(1-VLOOKUP($A142,[1]Hugst!$R$5:$W$9,MATCH(ROUNDUP((G$1)/10,0)*10,[1]Hugst!$R$4:$W$4,0))))</f>
        <v>0</v>
      </c>
      <c r="H142">
        <f ca="1">IF($C142-H$1&lt;År1,0,G141*(1-VLOOKUP($A142,[1]Hugst!$R$5:$W$9,MATCH(ROUNDUP((H$1)/10,0)*10,[1]Hugst!$R$4:$W$4,0))))</f>
        <v>0</v>
      </c>
      <c r="I142">
        <f ca="1">IF($C142-I$1&lt;År1,0,H141*(1-VLOOKUP($A142,[1]Hugst!$R$5:$W$9,MATCH(ROUNDUP((I$1)/10,0)*10,[1]Hugst!$R$4:$W$4,0))))</f>
        <v>0</v>
      </c>
      <c r="J142">
        <f ca="1">IF($C142-J$1&lt;År1,0,I141*(1-VLOOKUP($A142,[1]Hugst!$R$5:$W$9,MATCH(ROUNDUP((J$1)/10,0)*10,[1]Hugst!$R$4:$W$4,0))))</f>
        <v>0</v>
      </c>
      <c r="K142">
        <f ca="1">IF($C142-K$1&lt;År1,0,J141*(1-VLOOKUP($A142,[1]Hugst!$R$5:$W$9,MATCH(ROUNDUP((K$1)/10,0)*10,[1]Hugst!$R$4:$W$4,0))))</f>
        <v>0</v>
      </c>
      <c r="L142">
        <f ca="1">IF($C142-L$1&lt;År1,0,K141*(1-VLOOKUP($A142,[1]Hugst!$R$5:$W$9,MATCH(ROUNDUP((L$1)/10,0)*10,[1]Hugst!$R$4:$W$4,0))))</f>
        <v>0</v>
      </c>
      <c r="M142">
        <f ca="1">IF($C142-M$1&lt;År1,0,L141*(1-VLOOKUP($A142,[1]Hugst!$R$5:$W$9,MATCH(ROUNDUP((M$1)/10,0)*10,[1]Hugst!$R$4:$W$4,0))))</f>
        <v>0</v>
      </c>
      <c r="N142">
        <f ca="1">IF($C142-N$1&lt;År1,0,M141*(1-VLOOKUP($A142,[1]Hugst!$R$5:$W$9,MATCH(ROUNDUP((N$1)/10,0)*10,[1]Hugst!$R$4:$W$4,0))))</f>
        <v>0</v>
      </c>
      <c r="O142">
        <f ca="1">IF($C142-O$1&lt;År1,0,N141*(1-VLOOKUP($A142,[1]Hugst!$R$5:$W$9,MATCH(ROUNDUP((O$1)/10,0)*10,[1]Hugst!$R$4:$W$4,0))))</f>
        <v>0</v>
      </c>
      <c r="P142">
        <f ca="1">IF($C142-P$1&lt;År1,0,O141*(1-VLOOKUP($A142,[1]Hugst!$R$5:$W$9,MATCH(ROUNDUP((P$1)/10,0)*10,[1]Hugst!$R$4:$W$4,0))))</f>
        <v>0</v>
      </c>
      <c r="Q142">
        <f ca="1">IF($C142-Q$1&lt;År1,0,P141*(1-VLOOKUP($A142,[1]Hugst!$R$5:$W$9,MATCH(ROUNDUP((Q$1)/10,0)*10,[1]Hugst!$R$4:$W$4,0))))</f>
        <v>0</v>
      </c>
      <c r="R142">
        <f ca="1">IF($C142-R$1&lt;År1,0,Q141*(1-VLOOKUP($A142,[1]Hugst!$R$5:$W$9,MATCH(ROUNDUP((R$1)/10,0)*10,[1]Hugst!$R$4:$W$4,0))))</f>
        <v>0</v>
      </c>
      <c r="S142">
        <f ca="1">IF($C142-S$1&lt;År1,0,R141*(1-VLOOKUP($A142,[1]Hugst!$R$5:$W$9,MATCH(ROUNDUP((S$1)/10,0)*10,[1]Hugst!$R$4:$W$4,0))))</f>
        <v>0</v>
      </c>
      <c r="T142">
        <f ca="1">IF($C142-T$1&lt;År1,0,S141*(1-VLOOKUP($A142,[1]Hugst!$R$5:$W$9,MATCH(ROUNDUP((T$1)/10,0)*10,[1]Hugst!$R$4:$W$4,0))))</f>
        <v>0</v>
      </c>
      <c r="U142">
        <f ca="1">IF($C142-U$1&lt;År1,0,T141*(1-VLOOKUP($A142,[1]Hugst!$R$5:$W$9,MATCH(ROUNDUP((U$1)/10,0)*10,[1]Hugst!$R$4:$W$4,0))))</f>
        <v>0</v>
      </c>
      <c r="V142">
        <f ca="1">IF($C142-V$1&lt;År1,0,U141*(1-VLOOKUP($A142,[1]Hugst!$R$5:$W$9,MATCH(ROUNDUP((V$1)/10,0)*10,[1]Hugst!$R$4:$W$4,0))))</f>
        <v>0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0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>
        <f ca="1">IF($C143-G$1&lt;År1,0,F142*(1-VLOOKUP($A143,[1]Hugst!$R$5:$W$9,MATCH(ROUNDUP((G$1)/10,0)*10,[1]Hugst!$R$4:$W$4,0))))</f>
        <v>0</v>
      </c>
      <c r="H143">
        <f ca="1">IF($C143-H$1&lt;År1,0,G142*(1-VLOOKUP($A143,[1]Hugst!$R$5:$W$9,MATCH(ROUNDUP((H$1)/10,0)*10,[1]Hugst!$R$4:$W$4,0))))</f>
        <v>0</v>
      </c>
      <c r="I143">
        <f ca="1">IF($C143-I$1&lt;År1,0,H142*(1-VLOOKUP($A143,[1]Hugst!$R$5:$W$9,MATCH(ROUNDUP((I$1)/10,0)*10,[1]Hugst!$R$4:$W$4,0))))</f>
        <v>0</v>
      </c>
      <c r="J143">
        <f ca="1">IF($C143-J$1&lt;År1,0,I142*(1-VLOOKUP($A143,[1]Hugst!$R$5:$W$9,MATCH(ROUNDUP((J$1)/10,0)*10,[1]Hugst!$R$4:$W$4,0))))</f>
        <v>0</v>
      </c>
      <c r="K143">
        <f ca="1">IF($C143-K$1&lt;År1,0,J142*(1-VLOOKUP($A143,[1]Hugst!$R$5:$W$9,MATCH(ROUNDUP((K$1)/10,0)*10,[1]Hugst!$R$4:$W$4,0))))</f>
        <v>0</v>
      </c>
      <c r="L143">
        <f ca="1">IF($C143-L$1&lt;År1,0,K142*(1-VLOOKUP($A143,[1]Hugst!$R$5:$W$9,MATCH(ROUNDUP((L$1)/10,0)*10,[1]Hugst!$R$4:$W$4,0))))</f>
        <v>0</v>
      </c>
      <c r="M143">
        <f ca="1">IF($C143-M$1&lt;År1,0,L142*(1-VLOOKUP($A143,[1]Hugst!$R$5:$W$9,MATCH(ROUNDUP((M$1)/10,0)*10,[1]Hugst!$R$4:$W$4,0))))</f>
        <v>0</v>
      </c>
      <c r="N143">
        <f ca="1">IF($C143-N$1&lt;År1,0,M142*(1-VLOOKUP($A143,[1]Hugst!$R$5:$W$9,MATCH(ROUNDUP((N$1)/10,0)*10,[1]Hugst!$R$4:$W$4,0))))</f>
        <v>0</v>
      </c>
      <c r="O143">
        <f ca="1">IF($C143-O$1&lt;År1,0,N142*(1-VLOOKUP($A143,[1]Hugst!$R$5:$W$9,MATCH(ROUNDUP((O$1)/10,0)*10,[1]Hugst!$R$4:$W$4,0))))</f>
        <v>0</v>
      </c>
      <c r="P143">
        <f ca="1">IF($C143-P$1&lt;År1,0,O142*(1-VLOOKUP($A143,[1]Hugst!$R$5:$W$9,MATCH(ROUNDUP((P$1)/10,0)*10,[1]Hugst!$R$4:$W$4,0))))</f>
        <v>0</v>
      </c>
      <c r="Q143">
        <f ca="1">IF($C143-Q$1&lt;År1,0,P142*(1-VLOOKUP($A143,[1]Hugst!$R$5:$W$9,MATCH(ROUNDUP((Q$1)/10,0)*10,[1]Hugst!$R$4:$W$4,0))))</f>
        <v>0</v>
      </c>
      <c r="R143">
        <f ca="1">IF($C143-R$1&lt;År1,0,Q142*(1-VLOOKUP($A143,[1]Hugst!$R$5:$W$9,MATCH(ROUNDUP((R$1)/10,0)*10,[1]Hugst!$R$4:$W$4,0))))</f>
        <v>0</v>
      </c>
      <c r="S143">
        <f ca="1">IF($C143-S$1&lt;År1,0,R142*(1-VLOOKUP($A143,[1]Hugst!$R$5:$W$9,MATCH(ROUNDUP((S$1)/10,0)*10,[1]Hugst!$R$4:$W$4,0))))</f>
        <v>0</v>
      </c>
      <c r="T143">
        <f ca="1">IF($C143-T$1&lt;År1,0,S142*(1-VLOOKUP($A143,[1]Hugst!$R$5:$W$9,MATCH(ROUNDUP((T$1)/10,0)*10,[1]Hugst!$R$4:$W$4,0))))</f>
        <v>0</v>
      </c>
      <c r="U143">
        <f ca="1">IF($C143-U$1&lt;År1,0,T142*(1-VLOOKUP($A143,[1]Hugst!$R$5:$W$9,MATCH(ROUNDUP((U$1)/10,0)*10,[1]Hugst!$R$4:$W$4,0))))</f>
        <v>0</v>
      </c>
      <c r="V143">
        <f ca="1">IF($C143-V$1&lt;År1,0,U142*(1-VLOOKUP($A143,[1]Hugst!$R$5:$W$9,MATCH(ROUNDUP((V$1)/10,0)*10,[1]Hugst!$R$4:$W$4,0))))</f>
        <v>0</v>
      </c>
      <c r="W143">
        <f ca="1">IF($C143-W$1&lt;År1,0,V142*(1-VLOOKUP($A143,[1]Hugst!$R$5:$W$9,MATCH(ROUNDUP((W$1)/10,0)*10,[1]Hugst!$R$4:$W$4,0))))</f>
        <v>0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0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>
        <f ca="1">IF($C144-G$1&lt;År1,0,F143*(1-VLOOKUP($A144,[1]Hugst!$R$5:$W$9,MATCH(ROUNDUP((G$1)/10,0)*10,[1]Hugst!$R$4:$W$4,0))))</f>
        <v>0</v>
      </c>
      <c r="H144">
        <f ca="1">IF($C144-H$1&lt;År1,0,G143*(1-VLOOKUP($A144,[1]Hugst!$R$5:$W$9,MATCH(ROUNDUP((H$1)/10,0)*10,[1]Hugst!$R$4:$W$4,0))))</f>
        <v>0</v>
      </c>
      <c r="I144">
        <f ca="1">IF($C144-I$1&lt;År1,0,H143*(1-VLOOKUP($A144,[1]Hugst!$R$5:$W$9,MATCH(ROUNDUP((I$1)/10,0)*10,[1]Hugst!$R$4:$W$4,0))))</f>
        <v>0</v>
      </c>
      <c r="J144">
        <f ca="1">IF($C144-J$1&lt;År1,0,I143*(1-VLOOKUP($A144,[1]Hugst!$R$5:$W$9,MATCH(ROUNDUP((J$1)/10,0)*10,[1]Hugst!$R$4:$W$4,0))))</f>
        <v>0</v>
      </c>
      <c r="K144">
        <f ca="1">IF($C144-K$1&lt;År1,0,J143*(1-VLOOKUP($A144,[1]Hugst!$R$5:$W$9,MATCH(ROUNDUP((K$1)/10,0)*10,[1]Hugst!$R$4:$W$4,0))))</f>
        <v>0</v>
      </c>
      <c r="L144">
        <f ca="1">IF($C144-L$1&lt;År1,0,K143*(1-VLOOKUP($A144,[1]Hugst!$R$5:$W$9,MATCH(ROUNDUP((L$1)/10,0)*10,[1]Hugst!$R$4:$W$4,0))))</f>
        <v>0</v>
      </c>
      <c r="M144">
        <f ca="1">IF($C144-M$1&lt;År1,0,L143*(1-VLOOKUP($A144,[1]Hugst!$R$5:$W$9,MATCH(ROUNDUP((M$1)/10,0)*10,[1]Hugst!$R$4:$W$4,0))))</f>
        <v>0</v>
      </c>
      <c r="N144">
        <f ca="1">IF($C144-N$1&lt;År1,0,M143*(1-VLOOKUP($A144,[1]Hugst!$R$5:$W$9,MATCH(ROUNDUP((N$1)/10,0)*10,[1]Hugst!$R$4:$W$4,0))))</f>
        <v>0</v>
      </c>
      <c r="O144">
        <f ca="1">IF($C144-O$1&lt;År1,0,N143*(1-VLOOKUP($A144,[1]Hugst!$R$5:$W$9,MATCH(ROUNDUP((O$1)/10,0)*10,[1]Hugst!$R$4:$W$4,0))))</f>
        <v>0</v>
      </c>
      <c r="P144">
        <f ca="1">IF($C144-P$1&lt;År1,0,O143*(1-VLOOKUP($A144,[1]Hugst!$R$5:$W$9,MATCH(ROUNDUP((P$1)/10,0)*10,[1]Hugst!$R$4:$W$4,0))))</f>
        <v>0</v>
      </c>
      <c r="Q144">
        <f ca="1">IF($C144-Q$1&lt;År1,0,P143*(1-VLOOKUP($A144,[1]Hugst!$R$5:$W$9,MATCH(ROUNDUP((Q$1)/10,0)*10,[1]Hugst!$R$4:$W$4,0))))</f>
        <v>0</v>
      </c>
      <c r="R144">
        <f ca="1">IF($C144-R$1&lt;År1,0,Q143*(1-VLOOKUP($A144,[1]Hugst!$R$5:$W$9,MATCH(ROUNDUP((R$1)/10,0)*10,[1]Hugst!$R$4:$W$4,0))))</f>
        <v>0</v>
      </c>
      <c r="S144">
        <f ca="1">IF($C144-S$1&lt;År1,0,R143*(1-VLOOKUP($A144,[1]Hugst!$R$5:$W$9,MATCH(ROUNDUP((S$1)/10,0)*10,[1]Hugst!$R$4:$W$4,0))))</f>
        <v>0</v>
      </c>
      <c r="T144">
        <f ca="1">IF($C144-T$1&lt;År1,0,S143*(1-VLOOKUP($A144,[1]Hugst!$R$5:$W$9,MATCH(ROUNDUP((T$1)/10,0)*10,[1]Hugst!$R$4:$W$4,0))))</f>
        <v>0</v>
      </c>
      <c r="U144">
        <f ca="1">IF($C144-U$1&lt;År1,0,T143*(1-VLOOKUP($A144,[1]Hugst!$R$5:$W$9,MATCH(ROUNDUP((U$1)/10,0)*10,[1]Hugst!$R$4:$W$4,0))))</f>
        <v>0</v>
      </c>
      <c r="V144">
        <f ca="1">IF($C144-V$1&lt;År1,0,U143*(1-VLOOKUP($A144,[1]Hugst!$R$5:$W$9,MATCH(ROUNDUP((V$1)/10,0)*10,[1]Hugst!$R$4:$W$4,0))))</f>
        <v>0</v>
      </c>
      <c r="W144">
        <f ca="1">IF($C144-W$1&lt;År1,0,V143*(1-VLOOKUP($A144,[1]Hugst!$R$5:$W$9,MATCH(ROUNDUP((W$1)/10,0)*10,[1]Hugst!$R$4:$W$4,0))))</f>
        <v>0</v>
      </c>
      <c r="X144">
        <f ca="1">IF($C144-X$1&lt;År1,0,W143*(1-VLOOKUP($A144,[1]Hugst!$R$5:$W$9,MATCH(ROUNDUP((X$1)/10,0)*10,[1]Hugst!$R$4:$W$4,0))))</f>
        <v>0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0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>
        <f ca="1">IF($C145-G$1&lt;År1,0,F144*(1-VLOOKUP($A145,[1]Hugst!$R$5:$W$9,MATCH(ROUNDUP((G$1)/10,0)*10,[1]Hugst!$R$4:$W$4,0))))</f>
        <v>0</v>
      </c>
      <c r="H145">
        <f ca="1">IF($C145-H$1&lt;År1,0,G144*(1-VLOOKUP($A145,[1]Hugst!$R$5:$W$9,MATCH(ROUNDUP((H$1)/10,0)*10,[1]Hugst!$R$4:$W$4,0))))</f>
        <v>0</v>
      </c>
      <c r="I145">
        <f ca="1">IF($C145-I$1&lt;År1,0,H144*(1-VLOOKUP($A145,[1]Hugst!$R$5:$W$9,MATCH(ROUNDUP((I$1)/10,0)*10,[1]Hugst!$R$4:$W$4,0))))</f>
        <v>0</v>
      </c>
      <c r="J145">
        <f ca="1">IF($C145-J$1&lt;År1,0,I144*(1-VLOOKUP($A145,[1]Hugst!$R$5:$W$9,MATCH(ROUNDUP((J$1)/10,0)*10,[1]Hugst!$R$4:$W$4,0))))</f>
        <v>0</v>
      </c>
      <c r="K145">
        <f ca="1">IF($C145-K$1&lt;År1,0,J144*(1-VLOOKUP($A145,[1]Hugst!$R$5:$W$9,MATCH(ROUNDUP((K$1)/10,0)*10,[1]Hugst!$R$4:$W$4,0))))</f>
        <v>0</v>
      </c>
      <c r="L145">
        <f ca="1">IF($C145-L$1&lt;År1,0,K144*(1-VLOOKUP($A145,[1]Hugst!$R$5:$W$9,MATCH(ROUNDUP((L$1)/10,0)*10,[1]Hugst!$R$4:$W$4,0))))</f>
        <v>0</v>
      </c>
      <c r="M145">
        <f ca="1">IF($C145-M$1&lt;År1,0,L144*(1-VLOOKUP($A145,[1]Hugst!$R$5:$W$9,MATCH(ROUNDUP((M$1)/10,0)*10,[1]Hugst!$R$4:$W$4,0))))</f>
        <v>0</v>
      </c>
      <c r="N145">
        <f ca="1">IF($C145-N$1&lt;År1,0,M144*(1-VLOOKUP($A145,[1]Hugst!$R$5:$W$9,MATCH(ROUNDUP((N$1)/10,0)*10,[1]Hugst!$R$4:$W$4,0))))</f>
        <v>0</v>
      </c>
      <c r="O145">
        <f ca="1">IF($C145-O$1&lt;År1,0,N144*(1-VLOOKUP($A145,[1]Hugst!$R$5:$W$9,MATCH(ROUNDUP((O$1)/10,0)*10,[1]Hugst!$R$4:$W$4,0))))</f>
        <v>0</v>
      </c>
      <c r="P145">
        <f ca="1">IF($C145-P$1&lt;År1,0,O144*(1-VLOOKUP($A145,[1]Hugst!$R$5:$W$9,MATCH(ROUNDUP((P$1)/10,0)*10,[1]Hugst!$R$4:$W$4,0))))</f>
        <v>0</v>
      </c>
      <c r="Q145">
        <f ca="1">IF($C145-Q$1&lt;År1,0,P144*(1-VLOOKUP($A145,[1]Hugst!$R$5:$W$9,MATCH(ROUNDUP((Q$1)/10,0)*10,[1]Hugst!$R$4:$W$4,0))))</f>
        <v>0</v>
      </c>
      <c r="R145">
        <f ca="1">IF($C145-R$1&lt;År1,0,Q144*(1-VLOOKUP($A145,[1]Hugst!$R$5:$W$9,MATCH(ROUNDUP((R$1)/10,0)*10,[1]Hugst!$R$4:$W$4,0))))</f>
        <v>0</v>
      </c>
      <c r="S145">
        <f ca="1">IF($C145-S$1&lt;År1,0,R144*(1-VLOOKUP($A145,[1]Hugst!$R$5:$W$9,MATCH(ROUNDUP((S$1)/10,0)*10,[1]Hugst!$R$4:$W$4,0))))</f>
        <v>0</v>
      </c>
      <c r="T145">
        <f ca="1">IF($C145-T$1&lt;År1,0,S144*(1-VLOOKUP($A145,[1]Hugst!$R$5:$W$9,MATCH(ROUNDUP((T$1)/10,0)*10,[1]Hugst!$R$4:$W$4,0))))</f>
        <v>0</v>
      </c>
      <c r="U145">
        <f ca="1">IF($C145-U$1&lt;År1,0,T144*(1-VLOOKUP($A145,[1]Hugst!$R$5:$W$9,MATCH(ROUNDUP((U$1)/10,0)*10,[1]Hugst!$R$4:$W$4,0))))</f>
        <v>0</v>
      </c>
      <c r="V145">
        <f ca="1">IF($C145-V$1&lt;År1,0,U144*(1-VLOOKUP($A145,[1]Hugst!$R$5:$W$9,MATCH(ROUNDUP((V$1)/10,0)*10,[1]Hugst!$R$4:$W$4,0))))</f>
        <v>0</v>
      </c>
      <c r="W145">
        <f ca="1">IF($C145-W$1&lt;År1,0,V144*(1-VLOOKUP($A145,[1]Hugst!$R$5:$W$9,MATCH(ROUNDUP((W$1)/10,0)*10,[1]Hugst!$R$4:$W$4,0))))</f>
        <v>0</v>
      </c>
      <c r="X145">
        <f ca="1">IF($C145-X$1&lt;År1,0,W144*(1-VLOOKUP($A145,[1]Hugst!$R$5:$W$9,MATCH(ROUNDUP((X$1)/10,0)*10,[1]Hugst!$R$4:$W$4,0))))</f>
        <v>0</v>
      </c>
      <c r="Y145">
        <f ca="1">IF($C145-Y$1&lt;År1,0,X144*(1-VLOOKUP($A145,[1]Hugst!$R$5:$W$9,MATCH(ROUNDUP((Y$1)/10,0)*10,[1]Hugst!$R$4:$W$4,0))))</f>
        <v>0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0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>
        <f ca="1">IF($C146-G$1&lt;År1,0,F145*(1-VLOOKUP($A146,[1]Hugst!$R$5:$W$9,MATCH(ROUNDUP((G$1)/10,0)*10,[1]Hugst!$R$4:$W$4,0))))</f>
        <v>0</v>
      </c>
      <c r="H146">
        <f ca="1">IF($C146-H$1&lt;År1,0,G145*(1-VLOOKUP($A146,[1]Hugst!$R$5:$W$9,MATCH(ROUNDUP((H$1)/10,0)*10,[1]Hugst!$R$4:$W$4,0))))</f>
        <v>0</v>
      </c>
      <c r="I146">
        <f ca="1">IF($C146-I$1&lt;År1,0,H145*(1-VLOOKUP($A146,[1]Hugst!$R$5:$W$9,MATCH(ROUNDUP((I$1)/10,0)*10,[1]Hugst!$R$4:$W$4,0))))</f>
        <v>0</v>
      </c>
      <c r="J146">
        <f ca="1">IF($C146-J$1&lt;År1,0,I145*(1-VLOOKUP($A146,[1]Hugst!$R$5:$W$9,MATCH(ROUNDUP((J$1)/10,0)*10,[1]Hugst!$R$4:$W$4,0))))</f>
        <v>0</v>
      </c>
      <c r="K146">
        <f ca="1">IF($C146-K$1&lt;År1,0,J145*(1-VLOOKUP($A146,[1]Hugst!$R$5:$W$9,MATCH(ROUNDUP((K$1)/10,0)*10,[1]Hugst!$R$4:$W$4,0))))</f>
        <v>0</v>
      </c>
      <c r="L146">
        <f ca="1">IF($C146-L$1&lt;År1,0,K145*(1-VLOOKUP($A146,[1]Hugst!$R$5:$W$9,MATCH(ROUNDUP((L$1)/10,0)*10,[1]Hugst!$R$4:$W$4,0))))</f>
        <v>0</v>
      </c>
      <c r="M146">
        <f ca="1">IF($C146-M$1&lt;År1,0,L145*(1-VLOOKUP($A146,[1]Hugst!$R$5:$W$9,MATCH(ROUNDUP((M$1)/10,0)*10,[1]Hugst!$R$4:$W$4,0))))</f>
        <v>0</v>
      </c>
      <c r="N146">
        <f ca="1">IF($C146-N$1&lt;År1,0,M145*(1-VLOOKUP($A146,[1]Hugst!$R$5:$W$9,MATCH(ROUNDUP((N$1)/10,0)*10,[1]Hugst!$R$4:$W$4,0))))</f>
        <v>0</v>
      </c>
      <c r="O146">
        <f ca="1">IF($C146-O$1&lt;År1,0,N145*(1-VLOOKUP($A146,[1]Hugst!$R$5:$W$9,MATCH(ROUNDUP((O$1)/10,0)*10,[1]Hugst!$R$4:$W$4,0))))</f>
        <v>0</v>
      </c>
      <c r="P146">
        <f ca="1">IF($C146-P$1&lt;År1,0,O145*(1-VLOOKUP($A146,[1]Hugst!$R$5:$W$9,MATCH(ROUNDUP((P$1)/10,0)*10,[1]Hugst!$R$4:$W$4,0))))</f>
        <v>0</v>
      </c>
      <c r="Q146">
        <f ca="1">IF($C146-Q$1&lt;År1,0,P145*(1-VLOOKUP($A146,[1]Hugst!$R$5:$W$9,MATCH(ROUNDUP((Q$1)/10,0)*10,[1]Hugst!$R$4:$W$4,0))))</f>
        <v>0</v>
      </c>
      <c r="R146">
        <f ca="1">IF($C146-R$1&lt;År1,0,Q145*(1-VLOOKUP($A146,[1]Hugst!$R$5:$W$9,MATCH(ROUNDUP((R$1)/10,0)*10,[1]Hugst!$R$4:$W$4,0))))</f>
        <v>0</v>
      </c>
      <c r="S146">
        <f ca="1">IF($C146-S$1&lt;År1,0,R145*(1-VLOOKUP($A146,[1]Hugst!$R$5:$W$9,MATCH(ROUNDUP((S$1)/10,0)*10,[1]Hugst!$R$4:$W$4,0))))</f>
        <v>0</v>
      </c>
      <c r="T146">
        <f ca="1">IF($C146-T$1&lt;År1,0,S145*(1-VLOOKUP($A146,[1]Hugst!$R$5:$W$9,MATCH(ROUNDUP((T$1)/10,0)*10,[1]Hugst!$R$4:$W$4,0))))</f>
        <v>0</v>
      </c>
      <c r="U146">
        <f ca="1">IF($C146-U$1&lt;År1,0,T145*(1-VLOOKUP($A146,[1]Hugst!$R$5:$W$9,MATCH(ROUNDUP((U$1)/10,0)*10,[1]Hugst!$R$4:$W$4,0))))</f>
        <v>0</v>
      </c>
      <c r="V146">
        <f ca="1">IF($C146-V$1&lt;År1,0,U145*(1-VLOOKUP($A146,[1]Hugst!$R$5:$W$9,MATCH(ROUNDUP((V$1)/10,0)*10,[1]Hugst!$R$4:$W$4,0))))</f>
        <v>0</v>
      </c>
      <c r="W146">
        <f ca="1">IF($C146-W$1&lt;År1,0,V145*(1-VLOOKUP($A146,[1]Hugst!$R$5:$W$9,MATCH(ROUNDUP((W$1)/10,0)*10,[1]Hugst!$R$4:$W$4,0))))</f>
        <v>0</v>
      </c>
      <c r="X146">
        <f ca="1">IF($C146-X$1&lt;År1,0,W145*(1-VLOOKUP($A146,[1]Hugst!$R$5:$W$9,MATCH(ROUNDUP((X$1)/10,0)*10,[1]Hugst!$R$4:$W$4,0))))</f>
        <v>0</v>
      </c>
      <c r="Y146">
        <f ca="1">IF($C146-Y$1&lt;År1,0,X145*(1-VLOOKUP($A146,[1]Hugst!$R$5:$W$9,MATCH(ROUNDUP((Y$1)/10,0)*10,[1]Hugst!$R$4:$W$4,0))))</f>
        <v>0</v>
      </c>
      <c r="Z146">
        <f ca="1">IF($C146-Z$1&lt;År1,0,Y145*(1-VLOOKUP($A146,[1]Hugst!$R$5:$W$9,MATCH(ROUNDUP((Z$1)/10,0)*10,[1]Hugst!$R$4:$W$4,0))))</f>
        <v>0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0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>
        <f ca="1">IF($C147-G$1&lt;År1,0,F146*(1-VLOOKUP($A147,[1]Hugst!$R$5:$W$9,MATCH(ROUNDUP((G$1)/10,0)*10,[1]Hugst!$R$4:$W$4,0))))</f>
        <v>0</v>
      </c>
      <c r="H147">
        <f ca="1">IF($C147-H$1&lt;År1,0,G146*(1-VLOOKUP($A147,[1]Hugst!$R$5:$W$9,MATCH(ROUNDUP((H$1)/10,0)*10,[1]Hugst!$R$4:$W$4,0))))</f>
        <v>0</v>
      </c>
      <c r="I147">
        <f ca="1">IF($C147-I$1&lt;År1,0,H146*(1-VLOOKUP($A147,[1]Hugst!$R$5:$W$9,MATCH(ROUNDUP((I$1)/10,0)*10,[1]Hugst!$R$4:$W$4,0))))</f>
        <v>0</v>
      </c>
      <c r="J147">
        <f ca="1">IF($C147-J$1&lt;År1,0,I146*(1-VLOOKUP($A147,[1]Hugst!$R$5:$W$9,MATCH(ROUNDUP((J$1)/10,0)*10,[1]Hugst!$R$4:$W$4,0))))</f>
        <v>0</v>
      </c>
      <c r="K147">
        <f ca="1">IF($C147-K$1&lt;År1,0,J146*(1-VLOOKUP($A147,[1]Hugst!$R$5:$W$9,MATCH(ROUNDUP((K$1)/10,0)*10,[1]Hugst!$R$4:$W$4,0))))</f>
        <v>0</v>
      </c>
      <c r="L147">
        <f ca="1">IF($C147-L$1&lt;År1,0,K146*(1-VLOOKUP($A147,[1]Hugst!$R$5:$W$9,MATCH(ROUNDUP((L$1)/10,0)*10,[1]Hugst!$R$4:$W$4,0))))</f>
        <v>0</v>
      </c>
      <c r="M147">
        <f ca="1">IF($C147-M$1&lt;År1,0,L146*(1-VLOOKUP($A147,[1]Hugst!$R$5:$W$9,MATCH(ROUNDUP((M$1)/10,0)*10,[1]Hugst!$R$4:$W$4,0))))</f>
        <v>0</v>
      </c>
      <c r="N147">
        <f ca="1">IF($C147-N$1&lt;År1,0,M146*(1-VLOOKUP($A147,[1]Hugst!$R$5:$W$9,MATCH(ROUNDUP((N$1)/10,0)*10,[1]Hugst!$R$4:$W$4,0))))</f>
        <v>0</v>
      </c>
      <c r="O147">
        <f ca="1">IF($C147-O$1&lt;År1,0,N146*(1-VLOOKUP($A147,[1]Hugst!$R$5:$W$9,MATCH(ROUNDUP((O$1)/10,0)*10,[1]Hugst!$R$4:$W$4,0))))</f>
        <v>0</v>
      </c>
      <c r="P147">
        <f ca="1">IF($C147-P$1&lt;År1,0,O146*(1-VLOOKUP($A147,[1]Hugst!$R$5:$W$9,MATCH(ROUNDUP((P$1)/10,0)*10,[1]Hugst!$R$4:$W$4,0))))</f>
        <v>0</v>
      </c>
      <c r="Q147">
        <f ca="1">IF($C147-Q$1&lt;År1,0,P146*(1-VLOOKUP($A147,[1]Hugst!$R$5:$W$9,MATCH(ROUNDUP((Q$1)/10,0)*10,[1]Hugst!$R$4:$W$4,0))))</f>
        <v>0</v>
      </c>
      <c r="R147">
        <f ca="1">IF($C147-R$1&lt;År1,0,Q146*(1-VLOOKUP($A147,[1]Hugst!$R$5:$W$9,MATCH(ROUNDUP((R$1)/10,0)*10,[1]Hugst!$R$4:$W$4,0))))</f>
        <v>0</v>
      </c>
      <c r="S147">
        <f ca="1">IF($C147-S$1&lt;År1,0,R146*(1-VLOOKUP($A147,[1]Hugst!$R$5:$W$9,MATCH(ROUNDUP((S$1)/10,0)*10,[1]Hugst!$R$4:$W$4,0))))</f>
        <v>0</v>
      </c>
      <c r="T147">
        <f ca="1">IF($C147-T$1&lt;År1,0,S146*(1-VLOOKUP($A147,[1]Hugst!$R$5:$W$9,MATCH(ROUNDUP((T$1)/10,0)*10,[1]Hugst!$R$4:$W$4,0))))</f>
        <v>0</v>
      </c>
      <c r="U147">
        <f ca="1">IF($C147-U$1&lt;År1,0,T146*(1-VLOOKUP($A147,[1]Hugst!$R$5:$W$9,MATCH(ROUNDUP((U$1)/10,0)*10,[1]Hugst!$R$4:$W$4,0))))</f>
        <v>0</v>
      </c>
      <c r="V147">
        <f ca="1">IF($C147-V$1&lt;År1,0,U146*(1-VLOOKUP($A147,[1]Hugst!$R$5:$W$9,MATCH(ROUNDUP((V$1)/10,0)*10,[1]Hugst!$R$4:$W$4,0))))</f>
        <v>0</v>
      </c>
      <c r="W147">
        <f ca="1">IF($C147-W$1&lt;År1,0,V146*(1-VLOOKUP($A147,[1]Hugst!$R$5:$W$9,MATCH(ROUNDUP((W$1)/10,0)*10,[1]Hugst!$R$4:$W$4,0))))</f>
        <v>0</v>
      </c>
      <c r="X147">
        <f ca="1">IF($C147-X$1&lt;År1,0,W146*(1-VLOOKUP($A147,[1]Hugst!$R$5:$W$9,MATCH(ROUNDUP((X$1)/10,0)*10,[1]Hugst!$R$4:$W$4,0))))</f>
        <v>0</v>
      </c>
      <c r="Y147">
        <f ca="1">IF($C147-Y$1&lt;År1,0,X146*(1-VLOOKUP($A147,[1]Hugst!$R$5:$W$9,MATCH(ROUNDUP((Y$1)/10,0)*10,[1]Hugst!$R$4:$W$4,0))))</f>
        <v>0</v>
      </c>
      <c r="Z147">
        <f ca="1">IF($C147-Z$1&lt;År1,0,Y146*(1-VLOOKUP($A147,[1]Hugst!$R$5:$W$9,MATCH(ROUNDUP((Z$1)/10,0)*10,[1]Hugst!$R$4:$W$4,0))))</f>
        <v>0</v>
      </c>
      <c r="AA147">
        <f ca="1">IF($C147-AA$1&lt;År1,0,Z146*(1-VLOOKUP($A147,[1]Hugst!$R$5:$W$9,MATCH(ROUNDUP((AA$1)/10,0)*10,[1]Hugst!$R$4:$W$4,0))))</f>
        <v>0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0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>
        <f ca="1">IF($C148-G$1&lt;År1,0,F147*(1-VLOOKUP($A148,[1]Hugst!$R$5:$W$9,MATCH(ROUNDUP((G$1)/10,0)*10,[1]Hugst!$R$4:$W$4,0))))</f>
        <v>0</v>
      </c>
      <c r="H148">
        <f ca="1">IF($C148-H$1&lt;År1,0,G147*(1-VLOOKUP($A148,[1]Hugst!$R$5:$W$9,MATCH(ROUNDUP((H$1)/10,0)*10,[1]Hugst!$R$4:$W$4,0))))</f>
        <v>0</v>
      </c>
      <c r="I148">
        <f ca="1">IF($C148-I$1&lt;År1,0,H147*(1-VLOOKUP($A148,[1]Hugst!$R$5:$W$9,MATCH(ROUNDUP((I$1)/10,0)*10,[1]Hugst!$R$4:$W$4,0))))</f>
        <v>0</v>
      </c>
      <c r="J148">
        <f ca="1">IF($C148-J$1&lt;År1,0,I147*(1-VLOOKUP($A148,[1]Hugst!$R$5:$W$9,MATCH(ROUNDUP((J$1)/10,0)*10,[1]Hugst!$R$4:$W$4,0))))</f>
        <v>0</v>
      </c>
      <c r="K148">
        <f ca="1">IF($C148-K$1&lt;År1,0,J147*(1-VLOOKUP($A148,[1]Hugst!$R$5:$W$9,MATCH(ROUNDUP((K$1)/10,0)*10,[1]Hugst!$R$4:$W$4,0))))</f>
        <v>0</v>
      </c>
      <c r="L148">
        <f ca="1">IF($C148-L$1&lt;År1,0,K147*(1-VLOOKUP($A148,[1]Hugst!$R$5:$W$9,MATCH(ROUNDUP((L$1)/10,0)*10,[1]Hugst!$R$4:$W$4,0))))</f>
        <v>0</v>
      </c>
      <c r="M148">
        <f ca="1">IF($C148-M$1&lt;År1,0,L147*(1-VLOOKUP($A148,[1]Hugst!$R$5:$W$9,MATCH(ROUNDUP((M$1)/10,0)*10,[1]Hugst!$R$4:$W$4,0))))</f>
        <v>0</v>
      </c>
      <c r="N148">
        <f ca="1">IF($C148-N$1&lt;År1,0,M147*(1-VLOOKUP($A148,[1]Hugst!$R$5:$W$9,MATCH(ROUNDUP((N$1)/10,0)*10,[1]Hugst!$R$4:$W$4,0))))</f>
        <v>0</v>
      </c>
      <c r="O148">
        <f ca="1">IF($C148-O$1&lt;År1,0,N147*(1-VLOOKUP($A148,[1]Hugst!$R$5:$W$9,MATCH(ROUNDUP((O$1)/10,0)*10,[1]Hugst!$R$4:$W$4,0))))</f>
        <v>0</v>
      </c>
      <c r="P148">
        <f ca="1">IF($C148-P$1&lt;År1,0,O147*(1-VLOOKUP($A148,[1]Hugst!$R$5:$W$9,MATCH(ROUNDUP((P$1)/10,0)*10,[1]Hugst!$R$4:$W$4,0))))</f>
        <v>0</v>
      </c>
      <c r="Q148">
        <f ca="1">IF($C148-Q$1&lt;År1,0,P147*(1-VLOOKUP($A148,[1]Hugst!$R$5:$W$9,MATCH(ROUNDUP((Q$1)/10,0)*10,[1]Hugst!$R$4:$W$4,0))))</f>
        <v>0</v>
      </c>
      <c r="R148">
        <f ca="1">IF($C148-R$1&lt;År1,0,Q147*(1-VLOOKUP($A148,[1]Hugst!$R$5:$W$9,MATCH(ROUNDUP((R$1)/10,0)*10,[1]Hugst!$R$4:$W$4,0))))</f>
        <v>0</v>
      </c>
      <c r="S148">
        <f ca="1">IF($C148-S$1&lt;År1,0,R147*(1-VLOOKUP($A148,[1]Hugst!$R$5:$W$9,MATCH(ROUNDUP((S$1)/10,0)*10,[1]Hugst!$R$4:$W$4,0))))</f>
        <v>0</v>
      </c>
      <c r="T148">
        <f ca="1">IF($C148-T$1&lt;År1,0,S147*(1-VLOOKUP($A148,[1]Hugst!$R$5:$W$9,MATCH(ROUNDUP((T$1)/10,0)*10,[1]Hugst!$R$4:$W$4,0))))</f>
        <v>0</v>
      </c>
      <c r="U148">
        <f ca="1">IF($C148-U$1&lt;År1,0,T147*(1-VLOOKUP($A148,[1]Hugst!$R$5:$W$9,MATCH(ROUNDUP((U$1)/10,0)*10,[1]Hugst!$R$4:$W$4,0))))</f>
        <v>0</v>
      </c>
      <c r="V148">
        <f ca="1">IF($C148-V$1&lt;År1,0,U147*(1-VLOOKUP($A148,[1]Hugst!$R$5:$W$9,MATCH(ROUNDUP((V$1)/10,0)*10,[1]Hugst!$R$4:$W$4,0))))</f>
        <v>0</v>
      </c>
      <c r="W148">
        <f ca="1">IF($C148-W$1&lt;År1,0,V147*(1-VLOOKUP($A148,[1]Hugst!$R$5:$W$9,MATCH(ROUNDUP((W$1)/10,0)*10,[1]Hugst!$R$4:$W$4,0))))</f>
        <v>0</v>
      </c>
      <c r="X148">
        <f ca="1">IF($C148-X$1&lt;År1,0,W147*(1-VLOOKUP($A148,[1]Hugst!$R$5:$W$9,MATCH(ROUNDUP((X$1)/10,0)*10,[1]Hugst!$R$4:$W$4,0))))</f>
        <v>0</v>
      </c>
      <c r="Y148">
        <f ca="1">IF($C148-Y$1&lt;År1,0,X147*(1-VLOOKUP($A148,[1]Hugst!$R$5:$W$9,MATCH(ROUNDUP((Y$1)/10,0)*10,[1]Hugst!$R$4:$W$4,0))))</f>
        <v>0</v>
      </c>
      <c r="Z148">
        <f ca="1">IF($C148-Z$1&lt;År1,0,Y147*(1-VLOOKUP($A148,[1]Hugst!$R$5:$W$9,MATCH(ROUNDUP((Z$1)/10,0)*10,[1]Hugst!$R$4:$W$4,0))))</f>
        <v>0</v>
      </c>
      <c r="AA148">
        <f ca="1">IF($C148-AA$1&lt;År1,0,Z147*(1-VLOOKUP($A148,[1]Hugst!$R$5:$W$9,MATCH(ROUNDUP((AA$1)/10,0)*10,[1]Hugst!$R$4:$W$4,0))))</f>
        <v>0</v>
      </c>
      <c r="AB148">
        <f ca="1">IF($C148-AB$1&lt;År1,0,AA147*(1-VLOOKUP($A148,[1]Hugst!$R$5:$W$9,MATCH(ROUNDUP((AB$1)/10,0)*10,[1]Hugst!$R$4:$W$4,0))))</f>
        <v>0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0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>
        <f ca="1">IF($C149-G$1&lt;År1,0,F148*(1-VLOOKUP($A149,[1]Hugst!$R$5:$W$9,MATCH(ROUNDUP((G$1)/10,0)*10,[1]Hugst!$R$4:$W$4,0))))</f>
        <v>0</v>
      </c>
      <c r="H149">
        <f ca="1">IF($C149-H$1&lt;År1,0,G148*(1-VLOOKUP($A149,[1]Hugst!$R$5:$W$9,MATCH(ROUNDUP((H$1)/10,0)*10,[1]Hugst!$R$4:$W$4,0))))</f>
        <v>0</v>
      </c>
      <c r="I149">
        <f ca="1">IF($C149-I$1&lt;År1,0,H148*(1-VLOOKUP($A149,[1]Hugst!$R$5:$W$9,MATCH(ROUNDUP((I$1)/10,0)*10,[1]Hugst!$R$4:$W$4,0))))</f>
        <v>0</v>
      </c>
      <c r="J149">
        <f ca="1">IF($C149-J$1&lt;År1,0,I148*(1-VLOOKUP($A149,[1]Hugst!$R$5:$W$9,MATCH(ROUNDUP((J$1)/10,0)*10,[1]Hugst!$R$4:$W$4,0))))</f>
        <v>0</v>
      </c>
      <c r="K149">
        <f ca="1">IF($C149-K$1&lt;År1,0,J148*(1-VLOOKUP($A149,[1]Hugst!$R$5:$W$9,MATCH(ROUNDUP((K$1)/10,0)*10,[1]Hugst!$R$4:$W$4,0))))</f>
        <v>0</v>
      </c>
      <c r="L149">
        <f ca="1">IF($C149-L$1&lt;År1,0,K148*(1-VLOOKUP($A149,[1]Hugst!$R$5:$W$9,MATCH(ROUNDUP((L$1)/10,0)*10,[1]Hugst!$R$4:$W$4,0))))</f>
        <v>0</v>
      </c>
      <c r="M149">
        <f ca="1">IF($C149-M$1&lt;År1,0,L148*(1-VLOOKUP($A149,[1]Hugst!$R$5:$W$9,MATCH(ROUNDUP((M$1)/10,0)*10,[1]Hugst!$R$4:$W$4,0))))</f>
        <v>0</v>
      </c>
      <c r="N149">
        <f ca="1">IF($C149-N$1&lt;År1,0,M148*(1-VLOOKUP($A149,[1]Hugst!$R$5:$W$9,MATCH(ROUNDUP((N$1)/10,0)*10,[1]Hugst!$R$4:$W$4,0))))</f>
        <v>0</v>
      </c>
      <c r="O149">
        <f ca="1">IF($C149-O$1&lt;År1,0,N148*(1-VLOOKUP($A149,[1]Hugst!$R$5:$W$9,MATCH(ROUNDUP((O$1)/10,0)*10,[1]Hugst!$R$4:$W$4,0))))</f>
        <v>0</v>
      </c>
      <c r="P149">
        <f ca="1">IF($C149-P$1&lt;År1,0,O148*(1-VLOOKUP($A149,[1]Hugst!$R$5:$W$9,MATCH(ROUNDUP((P$1)/10,0)*10,[1]Hugst!$R$4:$W$4,0))))</f>
        <v>0</v>
      </c>
      <c r="Q149">
        <f ca="1">IF($C149-Q$1&lt;År1,0,P148*(1-VLOOKUP($A149,[1]Hugst!$R$5:$W$9,MATCH(ROUNDUP((Q$1)/10,0)*10,[1]Hugst!$R$4:$W$4,0))))</f>
        <v>0</v>
      </c>
      <c r="R149">
        <f ca="1">IF($C149-R$1&lt;År1,0,Q148*(1-VLOOKUP($A149,[1]Hugst!$R$5:$W$9,MATCH(ROUNDUP((R$1)/10,0)*10,[1]Hugst!$R$4:$W$4,0))))</f>
        <v>0</v>
      </c>
      <c r="S149">
        <f ca="1">IF($C149-S$1&lt;År1,0,R148*(1-VLOOKUP($A149,[1]Hugst!$R$5:$W$9,MATCH(ROUNDUP((S$1)/10,0)*10,[1]Hugst!$R$4:$W$4,0))))</f>
        <v>0</v>
      </c>
      <c r="T149">
        <f ca="1">IF($C149-T$1&lt;År1,0,S148*(1-VLOOKUP($A149,[1]Hugst!$R$5:$W$9,MATCH(ROUNDUP((T$1)/10,0)*10,[1]Hugst!$R$4:$W$4,0))))</f>
        <v>0</v>
      </c>
      <c r="U149">
        <f ca="1">IF($C149-U$1&lt;År1,0,T148*(1-VLOOKUP($A149,[1]Hugst!$R$5:$W$9,MATCH(ROUNDUP((U$1)/10,0)*10,[1]Hugst!$R$4:$W$4,0))))</f>
        <v>0</v>
      </c>
      <c r="V149">
        <f ca="1">IF($C149-V$1&lt;År1,0,U148*(1-VLOOKUP($A149,[1]Hugst!$R$5:$W$9,MATCH(ROUNDUP((V$1)/10,0)*10,[1]Hugst!$R$4:$W$4,0))))</f>
        <v>0</v>
      </c>
      <c r="W149">
        <f ca="1">IF($C149-W$1&lt;År1,0,V148*(1-VLOOKUP($A149,[1]Hugst!$R$5:$W$9,MATCH(ROUNDUP((W$1)/10,0)*10,[1]Hugst!$R$4:$W$4,0))))</f>
        <v>0</v>
      </c>
      <c r="X149">
        <f ca="1">IF($C149-X$1&lt;År1,0,W148*(1-VLOOKUP($A149,[1]Hugst!$R$5:$W$9,MATCH(ROUNDUP((X$1)/10,0)*10,[1]Hugst!$R$4:$W$4,0))))</f>
        <v>0</v>
      </c>
      <c r="Y149">
        <f ca="1">IF($C149-Y$1&lt;År1,0,X148*(1-VLOOKUP($A149,[1]Hugst!$R$5:$W$9,MATCH(ROUNDUP((Y$1)/10,0)*10,[1]Hugst!$R$4:$W$4,0))))</f>
        <v>0</v>
      </c>
      <c r="Z149">
        <f ca="1">IF($C149-Z$1&lt;År1,0,Y148*(1-VLOOKUP($A149,[1]Hugst!$R$5:$W$9,MATCH(ROUNDUP((Z$1)/10,0)*10,[1]Hugst!$R$4:$W$4,0))))</f>
        <v>0</v>
      </c>
      <c r="AA149">
        <f ca="1">IF($C149-AA$1&lt;År1,0,Z148*(1-VLOOKUP($A149,[1]Hugst!$R$5:$W$9,MATCH(ROUNDUP((AA$1)/10,0)*10,[1]Hugst!$R$4:$W$4,0))))</f>
        <v>0</v>
      </c>
      <c r="AB149">
        <f ca="1">IF($C149-AB$1&lt;År1,0,AA148*(1-VLOOKUP($A149,[1]Hugst!$R$5:$W$9,MATCH(ROUNDUP((AB$1)/10,0)*10,[1]Hugst!$R$4:$W$4,0))))</f>
        <v>0</v>
      </c>
      <c r="AC149">
        <f ca="1">IF($C149-AC$1&lt;År1,0,AB148*(1-VLOOKUP($A149,[1]Hugst!$R$5:$W$9,MATCH(ROUNDUP((AC$1)/10,0)*10,[1]Hugst!$R$4:$W$4,0))))</f>
        <v>0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0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>
        <f ca="1">IF($C150-G$1&lt;År1,0,F149*(1-VLOOKUP($A150,[1]Hugst!$R$5:$W$9,MATCH(ROUNDUP((G$1)/10,0)*10,[1]Hugst!$R$4:$W$4,0))))</f>
        <v>0</v>
      </c>
      <c r="H150">
        <f ca="1">IF($C150-H$1&lt;År1,0,G149*(1-VLOOKUP($A150,[1]Hugst!$R$5:$W$9,MATCH(ROUNDUP((H$1)/10,0)*10,[1]Hugst!$R$4:$W$4,0))))</f>
        <v>0</v>
      </c>
      <c r="I150">
        <f ca="1">IF($C150-I$1&lt;År1,0,H149*(1-VLOOKUP($A150,[1]Hugst!$R$5:$W$9,MATCH(ROUNDUP((I$1)/10,0)*10,[1]Hugst!$R$4:$W$4,0))))</f>
        <v>0</v>
      </c>
      <c r="J150">
        <f ca="1">IF($C150-J$1&lt;År1,0,I149*(1-VLOOKUP($A150,[1]Hugst!$R$5:$W$9,MATCH(ROUNDUP((J$1)/10,0)*10,[1]Hugst!$R$4:$W$4,0))))</f>
        <v>0</v>
      </c>
      <c r="K150">
        <f ca="1">IF($C150-K$1&lt;År1,0,J149*(1-VLOOKUP($A150,[1]Hugst!$R$5:$W$9,MATCH(ROUNDUP((K$1)/10,0)*10,[1]Hugst!$R$4:$W$4,0))))</f>
        <v>0</v>
      </c>
      <c r="L150">
        <f ca="1">IF($C150-L$1&lt;År1,0,K149*(1-VLOOKUP($A150,[1]Hugst!$R$5:$W$9,MATCH(ROUNDUP((L$1)/10,0)*10,[1]Hugst!$R$4:$W$4,0))))</f>
        <v>0</v>
      </c>
      <c r="M150">
        <f ca="1">IF($C150-M$1&lt;År1,0,L149*(1-VLOOKUP($A150,[1]Hugst!$R$5:$W$9,MATCH(ROUNDUP((M$1)/10,0)*10,[1]Hugst!$R$4:$W$4,0))))</f>
        <v>0</v>
      </c>
      <c r="N150">
        <f ca="1">IF($C150-N$1&lt;År1,0,M149*(1-VLOOKUP($A150,[1]Hugst!$R$5:$W$9,MATCH(ROUNDUP((N$1)/10,0)*10,[1]Hugst!$R$4:$W$4,0))))</f>
        <v>0</v>
      </c>
      <c r="O150">
        <f ca="1">IF($C150-O$1&lt;År1,0,N149*(1-VLOOKUP($A150,[1]Hugst!$R$5:$W$9,MATCH(ROUNDUP((O$1)/10,0)*10,[1]Hugst!$R$4:$W$4,0))))</f>
        <v>0</v>
      </c>
      <c r="P150">
        <f ca="1">IF($C150-P$1&lt;År1,0,O149*(1-VLOOKUP($A150,[1]Hugst!$R$5:$W$9,MATCH(ROUNDUP((P$1)/10,0)*10,[1]Hugst!$R$4:$W$4,0))))</f>
        <v>0</v>
      </c>
      <c r="Q150">
        <f ca="1">IF($C150-Q$1&lt;År1,0,P149*(1-VLOOKUP($A150,[1]Hugst!$R$5:$W$9,MATCH(ROUNDUP((Q$1)/10,0)*10,[1]Hugst!$R$4:$W$4,0))))</f>
        <v>0</v>
      </c>
      <c r="R150">
        <f ca="1">IF($C150-R$1&lt;År1,0,Q149*(1-VLOOKUP($A150,[1]Hugst!$R$5:$W$9,MATCH(ROUNDUP((R$1)/10,0)*10,[1]Hugst!$R$4:$W$4,0))))</f>
        <v>0</v>
      </c>
      <c r="S150">
        <f ca="1">IF($C150-S$1&lt;År1,0,R149*(1-VLOOKUP($A150,[1]Hugst!$R$5:$W$9,MATCH(ROUNDUP((S$1)/10,0)*10,[1]Hugst!$R$4:$W$4,0))))</f>
        <v>0</v>
      </c>
      <c r="T150">
        <f ca="1">IF($C150-T$1&lt;År1,0,S149*(1-VLOOKUP($A150,[1]Hugst!$R$5:$W$9,MATCH(ROUNDUP((T$1)/10,0)*10,[1]Hugst!$R$4:$W$4,0))))</f>
        <v>0</v>
      </c>
      <c r="U150">
        <f ca="1">IF($C150-U$1&lt;År1,0,T149*(1-VLOOKUP($A150,[1]Hugst!$R$5:$W$9,MATCH(ROUNDUP((U$1)/10,0)*10,[1]Hugst!$R$4:$W$4,0))))</f>
        <v>0</v>
      </c>
      <c r="V150">
        <f ca="1">IF($C150-V$1&lt;År1,0,U149*(1-VLOOKUP($A150,[1]Hugst!$R$5:$W$9,MATCH(ROUNDUP((V$1)/10,0)*10,[1]Hugst!$R$4:$W$4,0))))</f>
        <v>0</v>
      </c>
      <c r="W150">
        <f ca="1">IF($C150-W$1&lt;År1,0,V149*(1-VLOOKUP($A150,[1]Hugst!$R$5:$W$9,MATCH(ROUNDUP((W$1)/10,0)*10,[1]Hugst!$R$4:$W$4,0))))</f>
        <v>0</v>
      </c>
      <c r="X150">
        <f ca="1">IF($C150-X$1&lt;År1,0,W149*(1-VLOOKUP($A150,[1]Hugst!$R$5:$W$9,MATCH(ROUNDUP((X$1)/10,0)*10,[1]Hugst!$R$4:$W$4,0))))</f>
        <v>0</v>
      </c>
      <c r="Y150">
        <f ca="1">IF($C150-Y$1&lt;År1,0,X149*(1-VLOOKUP($A150,[1]Hugst!$R$5:$W$9,MATCH(ROUNDUP((Y$1)/10,0)*10,[1]Hugst!$R$4:$W$4,0))))</f>
        <v>0</v>
      </c>
      <c r="Z150">
        <f ca="1">IF($C150-Z$1&lt;År1,0,Y149*(1-VLOOKUP($A150,[1]Hugst!$R$5:$W$9,MATCH(ROUNDUP((Z$1)/10,0)*10,[1]Hugst!$R$4:$W$4,0))))</f>
        <v>0</v>
      </c>
      <c r="AA150">
        <f ca="1">IF($C150-AA$1&lt;År1,0,Z149*(1-VLOOKUP($A150,[1]Hugst!$R$5:$W$9,MATCH(ROUNDUP((AA$1)/10,0)*10,[1]Hugst!$R$4:$W$4,0))))</f>
        <v>0</v>
      </c>
      <c r="AB150">
        <f ca="1">IF($C150-AB$1&lt;År1,0,AA149*(1-VLOOKUP($A150,[1]Hugst!$R$5:$W$9,MATCH(ROUNDUP((AB$1)/10,0)*10,[1]Hugst!$R$4:$W$4,0))))</f>
        <v>0</v>
      </c>
      <c r="AC150">
        <f ca="1">IF($C150-AC$1&lt;År1,0,AB149*(1-VLOOKUP($A150,[1]Hugst!$R$5:$W$9,MATCH(ROUNDUP((AC$1)/10,0)*10,[1]Hugst!$R$4:$W$4,0))))</f>
        <v>0</v>
      </c>
      <c r="AD150">
        <f ca="1">IF($C150-AD$1&lt;År1,0,AC149*(1-VLOOKUP($A150,[1]Hugst!$R$5:$W$9,MATCH(ROUNDUP((AD$1)/10,0)*10,[1]Hugst!$R$4:$W$4,0))))</f>
        <v>0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0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>
        <f ca="1">IF($C151-G$1&lt;År1,0,F150*(1-VLOOKUP($A151,[1]Hugst!$R$5:$W$9,MATCH(ROUNDUP((G$1)/10,0)*10,[1]Hugst!$R$4:$W$4,0))))</f>
        <v>0</v>
      </c>
      <c r="H151">
        <f ca="1">IF($C151-H$1&lt;År1,0,G150*(1-VLOOKUP($A151,[1]Hugst!$R$5:$W$9,MATCH(ROUNDUP((H$1)/10,0)*10,[1]Hugst!$R$4:$W$4,0))))</f>
        <v>0</v>
      </c>
      <c r="I151">
        <f ca="1">IF($C151-I$1&lt;År1,0,H150*(1-VLOOKUP($A151,[1]Hugst!$R$5:$W$9,MATCH(ROUNDUP((I$1)/10,0)*10,[1]Hugst!$R$4:$W$4,0))))</f>
        <v>0</v>
      </c>
      <c r="J151">
        <f ca="1">IF($C151-J$1&lt;År1,0,I150*(1-VLOOKUP($A151,[1]Hugst!$R$5:$W$9,MATCH(ROUNDUP((J$1)/10,0)*10,[1]Hugst!$R$4:$W$4,0))))</f>
        <v>0</v>
      </c>
      <c r="K151">
        <f ca="1">IF($C151-K$1&lt;År1,0,J150*(1-VLOOKUP($A151,[1]Hugst!$R$5:$W$9,MATCH(ROUNDUP((K$1)/10,0)*10,[1]Hugst!$R$4:$W$4,0))))</f>
        <v>0</v>
      </c>
      <c r="L151">
        <f ca="1">IF($C151-L$1&lt;År1,0,K150*(1-VLOOKUP($A151,[1]Hugst!$R$5:$W$9,MATCH(ROUNDUP((L$1)/10,0)*10,[1]Hugst!$R$4:$W$4,0))))</f>
        <v>0</v>
      </c>
      <c r="M151">
        <f ca="1">IF($C151-M$1&lt;År1,0,L150*(1-VLOOKUP($A151,[1]Hugst!$R$5:$W$9,MATCH(ROUNDUP((M$1)/10,0)*10,[1]Hugst!$R$4:$W$4,0))))</f>
        <v>0</v>
      </c>
      <c r="N151">
        <f ca="1">IF($C151-N$1&lt;År1,0,M150*(1-VLOOKUP($A151,[1]Hugst!$R$5:$W$9,MATCH(ROUNDUP((N$1)/10,0)*10,[1]Hugst!$R$4:$W$4,0))))</f>
        <v>0</v>
      </c>
      <c r="O151">
        <f ca="1">IF($C151-O$1&lt;År1,0,N150*(1-VLOOKUP($A151,[1]Hugst!$R$5:$W$9,MATCH(ROUNDUP((O$1)/10,0)*10,[1]Hugst!$R$4:$W$4,0))))</f>
        <v>0</v>
      </c>
      <c r="P151">
        <f ca="1">IF($C151-P$1&lt;År1,0,O150*(1-VLOOKUP($A151,[1]Hugst!$R$5:$W$9,MATCH(ROUNDUP((P$1)/10,0)*10,[1]Hugst!$R$4:$W$4,0))))</f>
        <v>0</v>
      </c>
      <c r="Q151">
        <f ca="1">IF($C151-Q$1&lt;År1,0,P150*(1-VLOOKUP($A151,[1]Hugst!$R$5:$W$9,MATCH(ROUNDUP((Q$1)/10,0)*10,[1]Hugst!$R$4:$W$4,0))))</f>
        <v>0</v>
      </c>
      <c r="R151">
        <f ca="1">IF($C151-R$1&lt;År1,0,Q150*(1-VLOOKUP($A151,[1]Hugst!$R$5:$W$9,MATCH(ROUNDUP((R$1)/10,0)*10,[1]Hugst!$R$4:$W$4,0))))</f>
        <v>0</v>
      </c>
      <c r="S151">
        <f ca="1">IF($C151-S$1&lt;År1,0,R150*(1-VLOOKUP($A151,[1]Hugst!$R$5:$W$9,MATCH(ROUNDUP((S$1)/10,0)*10,[1]Hugst!$R$4:$W$4,0))))</f>
        <v>0</v>
      </c>
      <c r="T151">
        <f ca="1">IF($C151-T$1&lt;År1,0,S150*(1-VLOOKUP($A151,[1]Hugst!$R$5:$W$9,MATCH(ROUNDUP((T$1)/10,0)*10,[1]Hugst!$R$4:$W$4,0))))</f>
        <v>0</v>
      </c>
      <c r="U151">
        <f ca="1">IF($C151-U$1&lt;År1,0,T150*(1-VLOOKUP($A151,[1]Hugst!$R$5:$W$9,MATCH(ROUNDUP((U$1)/10,0)*10,[1]Hugst!$R$4:$W$4,0))))</f>
        <v>0</v>
      </c>
      <c r="V151">
        <f ca="1">IF($C151-V$1&lt;År1,0,U150*(1-VLOOKUP($A151,[1]Hugst!$R$5:$W$9,MATCH(ROUNDUP((V$1)/10,0)*10,[1]Hugst!$R$4:$W$4,0))))</f>
        <v>0</v>
      </c>
      <c r="W151">
        <f ca="1">IF($C151-W$1&lt;År1,0,V150*(1-VLOOKUP($A151,[1]Hugst!$R$5:$W$9,MATCH(ROUNDUP((W$1)/10,0)*10,[1]Hugst!$R$4:$W$4,0))))</f>
        <v>0</v>
      </c>
      <c r="X151">
        <f ca="1">IF($C151-X$1&lt;År1,0,W150*(1-VLOOKUP($A151,[1]Hugst!$R$5:$W$9,MATCH(ROUNDUP((X$1)/10,0)*10,[1]Hugst!$R$4:$W$4,0))))</f>
        <v>0</v>
      </c>
      <c r="Y151">
        <f ca="1">IF($C151-Y$1&lt;År1,0,X150*(1-VLOOKUP($A151,[1]Hugst!$R$5:$W$9,MATCH(ROUNDUP((Y$1)/10,0)*10,[1]Hugst!$R$4:$W$4,0))))</f>
        <v>0</v>
      </c>
      <c r="Z151">
        <f ca="1">IF($C151-Z$1&lt;År1,0,Y150*(1-VLOOKUP($A151,[1]Hugst!$R$5:$W$9,MATCH(ROUNDUP((Z$1)/10,0)*10,[1]Hugst!$R$4:$W$4,0))))</f>
        <v>0</v>
      </c>
      <c r="AA151">
        <f ca="1">IF($C151-AA$1&lt;År1,0,Z150*(1-VLOOKUP($A151,[1]Hugst!$R$5:$W$9,MATCH(ROUNDUP((AA$1)/10,0)*10,[1]Hugst!$R$4:$W$4,0))))</f>
        <v>0</v>
      </c>
      <c r="AB151">
        <f ca="1">IF($C151-AB$1&lt;År1,0,AA150*(1-VLOOKUP($A151,[1]Hugst!$R$5:$W$9,MATCH(ROUNDUP((AB$1)/10,0)*10,[1]Hugst!$R$4:$W$4,0))))</f>
        <v>0</v>
      </c>
      <c r="AC151">
        <f ca="1">IF($C151-AC$1&lt;År1,0,AB150*(1-VLOOKUP($A151,[1]Hugst!$R$5:$W$9,MATCH(ROUNDUP((AC$1)/10,0)*10,[1]Hugst!$R$4:$W$4,0))))</f>
        <v>0</v>
      </c>
      <c r="AD151">
        <f ca="1">IF($C151-AD$1&lt;År1,0,AC150*(1-VLOOKUP($A151,[1]Hugst!$R$5:$W$9,MATCH(ROUNDUP((AD$1)/10,0)*10,[1]Hugst!$R$4:$W$4,0))))</f>
        <v>0</v>
      </c>
      <c r="AE151">
        <f ca="1">IF($C151-AE$1&lt;År1,0,AD150*(1-VLOOKUP($A151,[1]Hugst!$R$5:$W$9,MATCH(ROUNDUP((AE$1)/10,0)*10,[1]Hugst!$R$4:$W$4,0))))</f>
        <v>0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0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>
        <f ca="1">IF($C152-G$1&lt;År1,0,F151*(1-VLOOKUP($A152,[1]Hugst!$R$5:$W$9,MATCH(ROUNDUP((G$1)/10,0)*10,[1]Hugst!$R$4:$W$4,0))))</f>
        <v>0</v>
      </c>
      <c r="H152">
        <f ca="1">IF($C152-H$1&lt;År1,0,G151*(1-VLOOKUP($A152,[1]Hugst!$R$5:$W$9,MATCH(ROUNDUP((H$1)/10,0)*10,[1]Hugst!$R$4:$W$4,0))))</f>
        <v>0</v>
      </c>
      <c r="I152">
        <f ca="1">IF($C152-I$1&lt;År1,0,H151*(1-VLOOKUP($A152,[1]Hugst!$R$5:$W$9,MATCH(ROUNDUP((I$1)/10,0)*10,[1]Hugst!$R$4:$W$4,0))))</f>
        <v>0</v>
      </c>
      <c r="J152">
        <f ca="1">IF($C152-J$1&lt;År1,0,I151*(1-VLOOKUP($A152,[1]Hugst!$R$5:$W$9,MATCH(ROUNDUP((J$1)/10,0)*10,[1]Hugst!$R$4:$W$4,0))))</f>
        <v>0</v>
      </c>
      <c r="K152">
        <f ca="1">IF($C152-K$1&lt;År1,0,J151*(1-VLOOKUP($A152,[1]Hugst!$R$5:$W$9,MATCH(ROUNDUP((K$1)/10,0)*10,[1]Hugst!$R$4:$W$4,0))))</f>
        <v>0</v>
      </c>
      <c r="L152">
        <f ca="1">IF($C152-L$1&lt;År1,0,K151*(1-VLOOKUP($A152,[1]Hugst!$R$5:$W$9,MATCH(ROUNDUP((L$1)/10,0)*10,[1]Hugst!$R$4:$W$4,0))))</f>
        <v>0</v>
      </c>
      <c r="M152">
        <f ca="1">IF($C152-M$1&lt;År1,0,L151*(1-VLOOKUP($A152,[1]Hugst!$R$5:$W$9,MATCH(ROUNDUP((M$1)/10,0)*10,[1]Hugst!$R$4:$W$4,0))))</f>
        <v>0</v>
      </c>
      <c r="N152">
        <f ca="1">IF($C152-N$1&lt;År1,0,M151*(1-VLOOKUP($A152,[1]Hugst!$R$5:$W$9,MATCH(ROUNDUP((N$1)/10,0)*10,[1]Hugst!$R$4:$W$4,0))))</f>
        <v>0</v>
      </c>
      <c r="O152">
        <f ca="1">IF($C152-O$1&lt;År1,0,N151*(1-VLOOKUP($A152,[1]Hugst!$R$5:$W$9,MATCH(ROUNDUP((O$1)/10,0)*10,[1]Hugst!$R$4:$W$4,0))))</f>
        <v>0</v>
      </c>
      <c r="P152">
        <f ca="1">IF($C152-P$1&lt;År1,0,O151*(1-VLOOKUP($A152,[1]Hugst!$R$5:$W$9,MATCH(ROUNDUP((P$1)/10,0)*10,[1]Hugst!$R$4:$W$4,0))))</f>
        <v>0</v>
      </c>
      <c r="Q152">
        <f ca="1">IF($C152-Q$1&lt;År1,0,P151*(1-VLOOKUP($A152,[1]Hugst!$R$5:$W$9,MATCH(ROUNDUP((Q$1)/10,0)*10,[1]Hugst!$R$4:$W$4,0))))</f>
        <v>0</v>
      </c>
      <c r="R152">
        <f ca="1">IF($C152-R$1&lt;År1,0,Q151*(1-VLOOKUP($A152,[1]Hugst!$R$5:$W$9,MATCH(ROUNDUP((R$1)/10,0)*10,[1]Hugst!$R$4:$W$4,0))))</f>
        <v>0</v>
      </c>
      <c r="S152">
        <f ca="1">IF($C152-S$1&lt;År1,0,R151*(1-VLOOKUP($A152,[1]Hugst!$R$5:$W$9,MATCH(ROUNDUP((S$1)/10,0)*10,[1]Hugst!$R$4:$W$4,0))))</f>
        <v>0</v>
      </c>
      <c r="T152">
        <f ca="1">IF($C152-T$1&lt;År1,0,S151*(1-VLOOKUP($A152,[1]Hugst!$R$5:$W$9,MATCH(ROUNDUP((T$1)/10,0)*10,[1]Hugst!$R$4:$W$4,0))))</f>
        <v>0</v>
      </c>
      <c r="U152">
        <f ca="1">IF($C152-U$1&lt;År1,0,T151*(1-VLOOKUP($A152,[1]Hugst!$R$5:$W$9,MATCH(ROUNDUP((U$1)/10,0)*10,[1]Hugst!$R$4:$W$4,0))))</f>
        <v>0</v>
      </c>
      <c r="V152">
        <f ca="1">IF($C152-V$1&lt;År1,0,U151*(1-VLOOKUP($A152,[1]Hugst!$R$5:$W$9,MATCH(ROUNDUP((V$1)/10,0)*10,[1]Hugst!$R$4:$W$4,0))))</f>
        <v>0</v>
      </c>
      <c r="W152">
        <f ca="1">IF($C152-W$1&lt;År1,0,V151*(1-VLOOKUP($A152,[1]Hugst!$R$5:$W$9,MATCH(ROUNDUP((W$1)/10,0)*10,[1]Hugst!$R$4:$W$4,0))))</f>
        <v>0</v>
      </c>
      <c r="X152">
        <f ca="1">IF($C152-X$1&lt;År1,0,W151*(1-VLOOKUP($A152,[1]Hugst!$R$5:$W$9,MATCH(ROUNDUP((X$1)/10,0)*10,[1]Hugst!$R$4:$W$4,0))))</f>
        <v>0</v>
      </c>
      <c r="Y152">
        <f ca="1">IF($C152-Y$1&lt;År1,0,X151*(1-VLOOKUP($A152,[1]Hugst!$R$5:$W$9,MATCH(ROUNDUP((Y$1)/10,0)*10,[1]Hugst!$R$4:$W$4,0))))</f>
        <v>0</v>
      </c>
      <c r="Z152">
        <f ca="1">IF($C152-Z$1&lt;År1,0,Y151*(1-VLOOKUP($A152,[1]Hugst!$R$5:$W$9,MATCH(ROUNDUP((Z$1)/10,0)*10,[1]Hugst!$R$4:$W$4,0))))</f>
        <v>0</v>
      </c>
      <c r="AA152">
        <f ca="1">IF($C152-AA$1&lt;År1,0,Z151*(1-VLOOKUP($A152,[1]Hugst!$R$5:$W$9,MATCH(ROUNDUP((AA$1)/10,0)*10,[1]Hugst!$R$4:$W$4,0))))</f>
        <v>0</v>
      </c>
      <c r="AB152">
        <f ca="1">IF($C152-AB$1&lt;År1,0,AA151*(1-VLOOKUP($A152,[1]Hugst!$R$5:$W$9,MATCH(ROUNDUP((AB$1)/10,0)*10,[1]Hugst!$R$4:$W$4,0))))</f>
        <v>0</v>
      </c>
      <c r="AC152">
        <f ca="1">IF($C152-AC$1&lt;År1,0,AB151*(1-VLOOKUP($A152,[1]Hugst!$R$5:$W$9,MATCH(ROUNDUP((AC$1)/10,0)*10,[1]Hugst!$R$4:$W$4,0))))</f>
        <v>0</v>
      </c>
      <c r="AD152">
        <f ca="1">IF($C152-AD$1&lt;År1,0,AC151*(1-VLOOKUP($A152,[1]Hugst!$R$5:$W$9,MATCH(ROUNDUP((AD$1)/10,0)*10,[1]Hugst!$R$4:$W$4,0))))</f>
        <v>0</v>
      </c>
      <c r="AE152">
        <f ca="1">IF($C152-AE$1&lt;År1,0,AD151*(1-VLOOKUP($A152,[1]Hugst!$R$5:$W$9,MATCH(ROUNDUP((AE$1)/10,0)*10,[1]Hugst!$R$4:$W$4,0))))</f>
        <v>0</v>
      </c>
      <c r="AF152">
        <f ca="1">IF($C152-AF$1&lt;År1,0,AE151*(1-VLOOKUP($A152,[1]Hugst!$R$5:$W$9,MATCH(ROUNDUP((AF$1)/10,0)*10,[1]Hugst!$R$4:$W$4,0))))</f>
        <v>0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0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>
        <f ca="1">IF($C153-G$1&lt;År1,0,F152*(1-VLOOKUP($A153,[1]Hugst!$R$5:$W$9,MATCH(ROUNDUP((G$1)/10,0)*10,[1]Hugst!$R$4:$W$4,0))))</f>
        <v>0</v>
      </c>
      <c r="H153">
        <f ca="1">IF($C153-H$1&lt;År1,0,G152*(1-VLOOKUP($A153,[1]Hugst!$R$5:$W$9,MATCH(ROUNDUP((H$1)/10,0)*10,[1]Hugst!$R$4:$W$4,0))))</f>
        <v>0</v>
      </c>
      <c r="I153">
        <f ca="1">IF($C153-I$1&lt;År1,0,H152*(1-VLOOKUP($A153,[1]Hugst!$R$5:$W$9,MATCH(ROUNDUP((I$1)/10,0)*10,[1]Hugst!$R$4:$W$4,0))))</f>
        <v>0</v>
      </c>
      <c r="J153">
        <f ca="1">IF($C153-J$1&lt;År1,0,I152*(1-VLOOKUP($A153,[1]Hugst!$R$5:$W$9,MATCH(ROUNDUP((J$1)/10,0)*10,[1]Hugst!$R$4:$W$4,0))))</f>
        <v>0</v>
      </c>
      <c r="K153">
        <f ca="1">IF($C153-K$1&lt;År1,0,J152*(1-VLOOKUP($A153,[1]Hugst!$R$5:$W$9,MATCH(ROUNDUP((K$1)/10,0)*10,[1]Hugst!$R$4:$W$4,0))))</f>
        <v>0</v>
      </c>
      <c r="L153">
        <f ca="1">IF($C153-L$1&lt;År1,0,K152*(1-VLOOKUP($A153,[1]Hugst!$R$5:$W$9,MATCH(ROUNDUP((L$1)/10,0)*10,[1]Hugst!$R$4:$W$4,0))))</f>
        <v>0</v>
      </c>
      <c r="M153">
        <f ca="1">IF($C153-M$1&lt;År1,0,L152*(1-VLOOKUP($A153,[1]Hugst!$R$5:$W$9,MATCH(ROUNDUP((M$1)/10,0)*10,[1]Hugst!$R$4:$W$4,0))))</f>
        <v>0</v>
      </c>
      <c r="N153">
        <f ca="1">IF($C153-N$1&lt;År1,0,M152*(1-VLOOKUP($A153,[1]Hugst!$R$5:$W$9,MATCH(ROUNDUP((N$1)/10,0)*10,[1]Hugst!$R$4:$W$4,0))))</f>
        <v>0</v>
      </c>
      <c r="O153">
        <f ca="1">IF($C153-O$1&lt;År1,0,N152*(1-VLOOKUP($A153,[1]Hugst!$R$5:$W$9,MATCH(ROUNDUP((O$1)/10,0)*10,[1]Hugst!$R$4:$W$4,0))))</f>
        <v>0</v>
      </c>
      <c r="P153">
        <f ca="1">IF($C153-P$1&lt;År1,0,O152*(1-VLOOKUP($A153,[1]Hugst!$R$5:$W$9,MATCH(ROUNDUP((P$1)/10,0)*10,[1]Hugst!$R$4:$W$4,0))))</f>
        <v>0</v>
      </c>
      <c r="Q153">
        <f ca="1">IF($C153-Q$1&lt;År1,0,P152*(1-VLOOKUP($A153,[1]Hugst!$R$5:$W$9,MATCH(ROUNDUP((Q$1)/10,0)*10,[1]Hugst!$R$4:$W$4,0))))</f>
        <v>0</v>
      </c>
      <c r="R153">
        <f ca="1">IF($C153-R$1&lt;År1,0,Q152*(1-VLOOKUP($A153,[1]Hugst!$R$5:$W$9,MATCH(ROUNDUP((R$1)/10,0)*10,[1]Hugst!$R$4:$W$4,0))))</f>
        <v>0</v>
      </c>
      <c r="S153">
        <f ca="1">IF($C153-S$1&lt;År1,0,R152*(1-VLOOKUP($A153,[1]Hugst!$R$5:$W$9,MATCH(ROUNDUP((S$1)/10,0)*10,[1]Hugst!$R$4:$W$4,0))))</f>
        <v>0</v>
      </c>
      <c r="T153">
        <f ca="1">IF($C153-T$1&lt;År1,0,S152*(1-VLOOKUP($A153,[1]Hugst!$R$5:$W$9,MATCH(ROUNDUP((T$1)/10,0)*10,[1]Hugst!$R$4:$W$4,0))))</f>
        <v>0</v>
      </c>
      <c r="U153">
        <f ca="1">IF($C153-U$1&lt;År1,0,T152*(1-VLOOKUP($A153,[1]Hugst!$R$5:$W$9,MATCH(ROUNDUP((U$1)/10,0)*10,[1]Hugst!$R$4:$W$4,0))))</f>
        <v>0</v>
      </c>
      <c r="V153">
        <f ca="1">IF($C153-V$1&lt;År1,0,U152*(1-VLOOKUP($A153,[1]Hugst!$R$5:$W$9,MATCH(ROUNDUP((V$1)/10,0)*10,[1]Hugst!$R$4:$W$4,0))))</f>
        <v>0</v>
      </c>
      <c r="W153">
        <f ca="1">IF($C153-W$1&lt;År1,0,V152*(1-VLOOKUP($A153,[1]Hugst!$R$5:$W$9,MATCH(ROUNDUP((W$1)/10,0)*10,[1]Hugst!$R$4:$W$4,0))))</f>
        <v>0</v>
      </c>
      <c r="X153">
        <f ca="1">IF($C153-X$1&lt;År1,0,W152*(1-VLOOKUP($A153,[1]Hugst!$R$5:$W$9,MATCH(ROUNDUP((X$1)/10,0)*10,[1]Hugst!$R$4:$W$4,0))))</f>
        <v>0</v>
      </c>
      <c r="Y153">
        <f ca="1">IF($C153-Y$1&lt;År1,0,X152*(1-VLOOKUP($A153,[1]Hugst!$R$5:$W$9,MATCH(ROUNDUP((Y$1)/10,0)*10,[1]Hugst!$R$4:$W$4,0))))</f>
        <v>0</v>
      </c>
      <c r="Z153">
        <f ca="1">IF($C153-Z$1&lt;År1,0,Y152*(1-VLOOKUP($A153,[1]Hugst!$R$5:$W$9,MATCH(ROUNDUP((Z$1)/10,0)*10,[1]Hugst!$R$4:$W$4,0))))</f>
        <v>0</v>
      </c>
      <c r="AA153">
        <f ca="1">IF($C153-AA$1&lt;År1,0,Z152*(1-VLOOKUP($A153,[1]Hugst!$R$5:$W$9,MATCH(ROUNDUP((AA$1)/10,0)*10,[1]Hugst!$R$4:$W$4,0))))</f>
        <v>0</v>
      </c>
      <c r="AB153">
        <f ca="1">IF($C153-AB$1&lt;År1,0,AA152*(1-VLOOKUP($A153,[1]Hugst!$R$5:$W$9,MATCH(ROUNDUP((AB$1)/10,0)*10,[1]Hugst!$R$4:$W$4,0))))</f>
        <v>0</v>
      </c>
      <c r="AC153">
        <f ca="1">IF($C153-AC$1&lt;År1,0,AB152*(1-VLOOKUP($A153,[1]Hugst!$R$5:$W$9,MATCH(ROUNDUP((AC$1)/10,0)*10,[1]Hugst!$R$4:$W$4,0))))</f>
        <v>0</v>
      </c>
      <c r="AD153">
        <f ca="1">IF($C153-AD$1&lt;År1,0,AC152*(1-VLOOKUP($A153,[1]Hugst!$R$5:$W$9,MATCH(ROUNDUP((AD$1)/10,0)*10,[1]Hugst!$R$4:$W$4,0))))</f>
        <v>0</v>
      </c>
      <c r="AE153">
        <f ca="1">IF($C153-AE$1&lt;År1,0,AD152*(1-VLOOKUP($A153,[1]Hugst!$R$5:$W$9,MATCH(ROUNDUP((AE$1)/10,0)*10,[1]Hugst!$R$4:$W$4,0))))</f>
        <v>0</v>
      </c>
      <c r="AF153">
        <f ca="1">IF($C153-AF$1&lt;År1,0,AE152*(1-VLOOKUP($A153,[1]Hugst!$R$5:$W$9,MATCH(ROUNDUP((AF$1)/10,0)*10,[1]Hugst!$R$4:$W$4,0))))</f>
        <v>0</v>
      </c>
      <c r="AG153">
        <f ca="1">IF($C153-AG$1&lt;År1,0,AF152*(1-VLOOKUP($A153,[1]Hugst!$R$5:$W$9,MATCH(ROUNDUP((AG$1)/10,0)*10,[1]Hugst!$R$4:$W$4,0))))</f>
        <v>0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0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>
        <f ca="1">IF($C154-G$1&lt;År1,0,F153*(1-VLOOKUP($A154,[1]Hugst!$R$5:$W$9,MATCH(ROUNDUP((G$1)/10,0)*10,[1]Hugst!$R$4:$W$4,0))))</f>
        <v>0</v>
      </c>
      <c r="H154">
        <f ca="1">IF($C154-H$1&lt;År1,0,G153*(1-VLOOKUP($A154,[1]Hugst!$R$5:$W$9,MATCH(ROUNDUP((H$1)/10,0)*10,[1]Hugst!$R$4:$W$4,0))))</f>
        <v>0</v>
      </c>
      <c r="I154">
        <f ca="1">IF($C154-I$1&lt;År1,0,H153*(1-VLOOKUP($A154,[1]Hugst!$R$5:$W$9,MATCH(ROUNDUP((I$1)/10,0)*10,[1]Hugst!$R$4:$W$4,0))))</f>
        <v>0</v>
      </c>
      <c r="J154">
        <f ca="1">IF($C154-J$1&lt;År1,0,I153*(1-VLOOKUP($A154,[1]Hugst!$R$5:$W$9,MATCH(ROUNDUP((J$1)/10,0)*10,[1]Hugst!$R$4:$W$4,0))))</f>
        <v>0</v>
      </c>
      <c r="K154">
        <f ca="1">IF($C154-K$1&lt;År1,0,J153*(1-VLOOKUP($A154,[1]Hugst!$R$5:$W$9,MATCH(ROUNDUP((K$1)/10,0)*10,[1]Hugst!$R$4:$W$4,0))))</f>
        <v>0</v>
      </c>
      <c r="L154">
        <f ca="1">IF($C154-L$1&lt;År1,0,K153*(1-VLOOKUP($A154,[1]Hugst!$R$5:$W$9,MATCH(ROUNDUP((L$1)/10,0)*10,[1]Hugst!$R$4:$W$4,0))))</f>
        <v>0</v>
      </c>
      <c r="M154">
        <f ca="1">IF($C154-M$1&lt;År1,0,L153*(1-VLOOKUP($A154,[1]Hugst!$R$5:$W$9,MATCH(ROUNDUP((M$1)/10,0)*10,[1]Hugst!$R$4:$W$4,0))))</f>
        <v>0</v>
      </c>
      <c r="N154">
        <f ca="1">IF($C154-N$1&lt;År1,0,M153*(1-VLOOKUP($A154,[1]Hugst!$R$5:$W$9,MATCH(ROUNDUP((N$1)/10,0)*10,[1]Hugst!$R$4:$W$4,0))))</f>
        <v>0</v>
      </c>
      <c r="O154">
        <f ca="1">IF($C154-O$1&lt;År1,0,N153*(1-VLOOKUP($A154,[1]Hugst!$R$5:$W$9,MATCH(ROUNDUP((O$1)/10,0)*10,[1]Hugst!$R$4:$W$4,0))))</f>
        <v>0</v>
      </c>
      <c r="P154">
        <f ca="1">IF($C154-P$1&lt;År1,0,O153*(1-VLOOKUP($A154,[1]Hugst!$R$5:$W$9,MATCH(ROUNDUP((P$1)/10,0)*10,[1]Hugst!$R$4:$W$4,0))))</f>
        <v>0</v>
      </c>
      <c r="Q154">
        <f ca="1">IF($C154-Q$1&lt;År1,0,P153*(1-VLOOKUP($A154,[1]Hugst!$R$5:$W$9,MATCH(ROUNDUP((Q$1)/10,0)*10,[1]Hugst!$R$4:$W$4,0))))</f>
        <v>0</v>
      </c>
      <c r="R154">
        <f ca="1">IF($C154-R$1&lt;År1,0,Q153*(1-VLOOKUP($A154,[1]Hugst!$R$5:$W$9,MATCH(ROUNDUP((R$1)/10,0)*10,[1]Hugst!$R$4:$W$4,0))))</f>
        <v>0</v>
      </c>
      <c r="S154">
        <f ca="1">IF($C154-S$1&lt;År1,0,R153*(1-VLOOKUP($A154,[1]Hugst!$R$5:$W$9,MATCH(ROUNDUP((S$1)/10,0)*10,[1]Hugst!$R$4:$W$4,0))))</f>
        <v>0</v>
      </c>
      <c r="T154">
        <f ca="1">IF($C154-T$1&lt;År1,0,S153*(1-VLOOKUP($A154,[1]Hugst!$R$5:$W$9,MATCH(ROUNDUP((T$1)/10,0)*10,[1]Hugst!$R$4:$W$4,0))))</f>
        <v>0</v>
      </c>
      <c r="U154">
        <f ca="1">IF($C154-U$1&lt;År1,0,T153*(1-VLOOKUP($A154,[1]Hugst!$R$5:$W$9,MATCH(ROUNDUP((U$1)/10,0)*10,[1]Hugst!$R$4:$W$4,0))))</f>
        <v>0</v>
      </c>
      <c r="V154">
        <f ca="1">IF($C154-V$1&lt;År1,0,U153*(1-VLOOKUP($A154,[1]Hugst!$R$5:$W$9,MATCH(ROUNDUP((V$1)/10,0)*10,[1]Hugst!$R$4:$W$4,0))))</f>
        <v>0</v>
      </c>
      <c r="W154">
        <f ca="1">IF($C154-W$1&lt;År1,0,V153*(1-VLOOKUP($A154,[1]Hugst!$R$5:$W$9,MATCH(ROUNDUP((W$1)/10,0)*10,[1]Hugst!$R$4:$W$4,0))))</f>
        <v>0</v>
      </c>
      <c r="X154">
        <f ca="1">IF($C154-X$1&lt;År1,0,W153*(1-VLOOKUP($A154,[1]Hugst!$R$5:$W$9,MATCH(ROUNDUP((X$1)/10,0)*10,[1]Hugst!$R$4:$W$4,0))))</f>
        <v>0</v>
      </c>
      <c r="Y154">
        <f ca="1">IF($C154-Y$1&lt;År1,0,X153*(1-VLOOKUP($A154,[1]Hugst!$R$5:$W$9,MATCH(ROUNDUP((Y$1)/10,0)*10,[1]Hugst!$R$4:$W$4,0))))</f>
        <v>0</v>
      </c>
      <c r="Z154">
        <f ca="1">IF($C154-Z$1&lt;År1,0,Y153*(1-VLOOKUP($A154,[1]Hugst!$R$5:$W$9,MATCH(ROUNDUP((Z$1)/10,0)*10,[1]Hugst!$R$4:$W$4,0))))</f>
        <v>0</v>
      </c>
      <c r="AA154">
        <f ca="1">IF($C154-AA$1&lt;År1,0,Z153*(1-VLOOKUP($A154,[1]Hugst!$R$5:$W$9,MATCH(ROUNDUP((AA$1)/10,0)*10,[1]Hugst!$R$4:$W$4,0))))</f>
        <v>0</v>
      </c>
      <c r="AB154">
        <f ca="1">IF($C154-AB$1&lt;År1,0,AA153*(1-VLOOKUP($A154,[1]Hugst!$R$5:$W$9,MATCH(ROUNDUP((AB$1)/10,0)*10,[1]Hugst!$R$4:$W$4,0))))</f>
        <v>0</v>
      </c>
      <c r="AC154">
        <f ca="1">IF($C154-AC$1&lt;År1,0,AB153*(1-VLOOKUP($A154,[1]Hugst!$R$5:$W$9,MATCH(ROUNDUP((AC$1)/10,0)*10,[1]Hugst!$R$4:$W$4,0))))</f>
        <v>0</v>
      </c>
      <c r="AD154">
        <f ca="1">IF($C154-AD$1&lt;År1,0,AC153*(1-VLOOKUP($A154,[1]Hugst!$R$5:$W$9,MATCH(ROUNDUP((AD$1)/10,0)*10,[1]Hugst!$R$4:$W$4,0))))</f>
        <v>0</v>
      </c>
      <c r="AE154">
        <f ca="1">IF($C154-AE$1&lt;År1,0,AD153*(1-VLOOKUP($A154,[1]Hugst!$R$5:$W$9,MATCH(ROUNDUP((AE$1)/10,0)*10,[1]Hugst!$R$4:$W$4,0))))</f>
        <v>0</v>
      </c>
      <c r="AF154">
        <f ca="1">IF($C154-AF$1&lt;År1,0,AE153*(1-VLOOKUP($A154,[1]Hugst!$R$5:$W$9,MATCH(ROUNDUP((AF$1)/10,0)*10,[1]Hugst!$R$4:$W$4,0))))</f>
        <v>0</v>
      </c>
      <c r="AG154">
        <f ca="1">IF($C154-AG$1&lt;År1,0,AF153*(1-VLOOKUP($A154,[1]Hugst!$R$5:$W$9,MATCH(ROUNDUP((AG$1)/10,0)*10,[1]Hugst!$R$4:$W$4,0))))</f>
        <v>0</v>
      </c>
      <c r="AH154">
        <f ca="1">IF($C154-AH$1&lt;År1,0,AG153*(1-VLOOKUP($A154,[1]Hugst!$R$5:$W$9,MATCH(ROUNDUP((AH$1)/10,0)*10,[1]Hugst!$R$4:$W$4,0))))</f>
        <v>0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0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>
        <f ca="1">IF($C155-G$1&lt;År1,0,F154*(1-VLOOKUP($A155,[1]Hugst!$R$5:$W$9,MATCH(ROUNDUP((G$1)/10,0)*10,[1]Hugst!$R$4:$W$4,0))))</f>
        <v>0</v>
      </c>
      <c r="H155">
        <f ca="1">IF($C155-H$1&lt;År1,0,G154*(1-VLOOKUP($A155,[1]Hugst!$R$5:$W$9,MATCH(ROUNDUP((H$1)/10,0)*10,[1]Hugst!$R$4:$W$4,0))))</f>
        <v>0</v>
      </c>
      <c r="I155">
        <f ca="1">IF($C155-I$1&lt;År1,0,H154*(1-VLOOKUP($A155,[1]Hugst!$R$5:$W$9,MATCH(ROUNDUP((I$1)/10,0)*10,[1]Hugst!$R$4:$W$4,0))))</f>
        <v>0</v>
      </c>
      <c r="J155">
        <f ca="1">IF($C155-J$1&lt;År1,0,I154*(1-VLOOKUP($A155,[1]Hugst!$R$5:$W$9,MATCH(ROUNDUP((J$1)/10,0)*10,[1]Hugst!$R$4:$W$4,0))))</f>
        <v>0</v>
      </c>
      <c r="K155">
        <f ca="1">IF($C155-K$1&lt;År1,0,J154*(1-VLOOKUP($A155,[1]Hugst!$R$5:$W$9,MATCH(ROUNDUP((K$1)/10,0)*10,[1]Hugst!$R$4:$W$4,0))))</f>
        <v>0</v>
      </c>
      <c r="L155">
        <f ca="1">IF($C155-L$1&lt;År1,0,K154*(1-VLOOKUP($A155,[1]Hugst!$R$5:$W$9,MATCH(ROUNDUP((L$1)/10,0)*10,[1]Hugst!$R$4:$W$4,0))))</f>
        <v>0</v>
      </c>
      <c r="M155">
        <f ca="1">IF($C155-M$1&lt;År1,0,L154*(1-VLOOKUP($A155,[1]Hugst!$R$5:$W$9,MATCH(ROUNDUP((M$1)/10,0)*10,[1]Hugst!$R$4:$W$4,0))))</f>
        <v>0</v>
      </c>
      <c r="N155">
        <f ca="1">IF($C155-N$1&lt;År1,0,M154*(1-VLOOKUP($A155,[1]Hugst!$R$5:$W$9,MATCH(ROUNDUP((N$1)/10,0)*10,[1]Hugst!$R$4:$W$4,0))))</f>
        <v>0</v>
      </c>
      <c r="O155">
        <f ca="1">IF($C155-O$1&lt;År1,0,N154*(1-VLOOKUP($A155,[1]Hugst!$R$5:$W$9,MATCH(ROUNDUP((O$1)/10,0)*10,[1]Hugst!$R$4:$W$4,0))))</f>
        <v>0</v>
      </c>
      <c r="P155">
        <f ca="1">IF($C155-P$1&lt;År1,0,O154*(1-VLOOKUP($A155,[1]Hugst!$R$5:$W$9,MATCH(ROUNDUP((P$1)/10,0)*10,[1]Hugst!$R$4:$W$4,0))))</f>
        <v>0</v>
      </c>
      <c r="Q155">
        <f ca="1">IF($C155-Q$1&lt;År1,0,P154*(1-VLOOKUP($A155,[1]Hugst!$R$5:$W$9,MATCH(ROUNDUP((Q$1)/10,0)*10,[1]Hugst!$R$4:$W$4,0))))</f>
        <v>0</v>
      </c>
      <c r="R155">
        <f ca="1">IF($C155-R$1&lt;År1,0,Q154*(1-VLOOKUP($A155,[1]Hugst!$R$5:$W$9,MATCH(ROUNDUP((R$1)/10,0)*10,[1]Hugst!$R$4:$W$4,0))))</f>
        <v>0</v>
      </c>
      <c r="S155">
        <f ca="1">IF($C155-S$1&lt;År1,0,R154*(1-VLOOKUP($A155,[1]Hugst!$R$5:$W$9,MATCH(ROUNDUP((S$1)/10,0)*10,[1]Hugst!$R$4:$W$4,0))))</f>
        <v>0</v>
      </c>
      <c r="T155">
        <f ca="1">IF($C155-T$1&lt;År1,0,S154*(1-VLOOKUP($A155,[1]Hugst!$R$5:$W$9,MATCH(ROUNDUP((T$1)/10,0)*10,[1]Hugst!$R$4:$W$4,0))))</f>
        <v>0</v>
      </c>
      <c r="U155">
        <f ca="1">IF($C155-U$1&lt;År1,0,T154*(1-VLOOKUP($A155,[1]Hugst!$R$5:$W$9,MATCH(ROUNDUP((U$1)/10,0)*10,[1]Hugst!$R$4:$W$4,0))))</f>
        <v>0</v>
      </c>
      <c r="V155">
        <f ca="1">IF($C155-V$1&lt;År1,0,U154*(1-VLOOKUP($A155,[1]Hugst!$R$5:$W$9,MATCH(ROUNDUP((V$1)/10,0)*10,[1]Hugst!$R$4:$W$4,0))))</f>
        <v>0</v>
      </c>
      <c r="W155">
        <f ca="1">IF($C155-W$1&lt;År1,0,V154*(1-VLOOKUP($A155,[1]Hugst!$R$5:$W$9,MATCH(ROUNDUP((W$1)/10,0)*10,[1]Hugst!$R$4:$W$4,0))))</f>
        <v>0</v>
      </c>
      <c r="X155">
        <f ca="1">IF($C155-X$1&lt;År1,0,W154*(1-VLOOKUP($A155,[1]Hugst!$R$5:$W$9,MATCH(ROUNDUP((X$1)/10,0)*10,[1]Hugst!$R$4:$W$4,0))))</f>
        <v>0</v>
      </c>
      <c r="Y155">
        <f ca="1">IF($C155-Y$1&lt;År1,0,X154*(1-VLOOKUP($A155,[1]Hugst!$R$5:$W$9,MATCH(ROUNDUP((Y$1)/10,0)*10,[1]Hugst!$R$4:$W$4,0))))</f>
        <v>0</v>
      </c>
      <c r="Z155">
        <f ca="1">IF($C155-Z$1&lt;År1,0,Y154*(1-VLOOKUP($A155,[1]Hugst!$R$5:$W$9,MATCH(ROUNDUP((Z$1)/10,0)*10,[1]Hugst!$R$4:$W$4,0))))</f>
        <v>0</v>
      </c>
      <c r="AA155">
        <f ca="1">IF($C155-AA$1&lt;År1,0,Z154*(1-VLOOKUP($A155,[1]Hugst!$R$5:$W$9,MATCH(ROUNDUP((AA$1)/10,0)*10,[1]Hugst!$R$4:$W$4,0))))</f>
        <v>0</v>
      </c>
      <c r="AB155">
        <f ca="1">IF($C155-AB$1&lt;År1,0,AA154*(1-VLOOKUP($A155,[1]Hugst!$R$5:$W$9,MATCH(ROUNDUP((AB$1)/10,0)*10,[1]Hugst!$R$4:$W$4,0))))</f>
        <v>0</v>
      </c>
      <c r="AC155">
        <f ca="1">IF($C155-AC$1&lt;År1,0,AB154*(1-VLOOKUP($A155,[1]Hugst!$R$5:$W$9,MATCH(ROUNDUP((AC$1)/10,0)*10,[1]Hugst!$R$4:$W$4,0))))</f>
        <v>0</v>
      </c>
      <c r="AD155">
        <f ca="1">IF($C155-AD$1&lt;År1,0,AC154*(1-VLOOKUP($A155,[1]Hugst!$R$5:$W$9,MATCH(ROUNDUP((AD$1)/10,0)*10,[1]Hugst!$R$4:$W$4,0))))</f>
        <v>0</v>
      </c>
      <c r="AE155">
        <f ca="1">IF($C155-AE$1&lt;År1,0,AD154*(1-VLOOKUP($A155,[1]Hugst!$R$5:$W$9,MATCH(ROUNDUP((AE$1)/10,0)*10,[1]Hugst!$R$4:$W$4,0))))</f>
        <v>0</v>
      </c>
      <c r="AF155">
        <f ca="1">IF($C155-AF$1&lt;År1,0,AE154*(1-VLOOKUP($A155,[1]Hugst!$R$5:$W$9,MATCH(ROUNDUP((AF$1)/10,0)*10,[1]Hugst!$R$4:$W$4,0))))</f>
        <v>0</v>
      </c>
      <c r="AG155">
        <f ca="1">IF($C155-AG$1&lt;År1,0,AF154*(1-VLOOKUP($A155,[1]Hugst!$R$5:$W$9,MATCH(ROUNDUP((AG$1)/10,0)*10,[1]Hugst!$R$4:$W$4,0))))</f>
        <v>0</v>
      </c>
      <c r="AH155">
        <f ca="1">IF($C155-AH$1&lt;År1,0,AG154*(1-VLOOKUP($A155,[1]Hugst!$R$5:$W$9,MATCH(ROUNDUP((AH$1)/10,0)*10,[1]Hugst!$R$4:$W$4,0))))</f>
        <v>0</v>
      </c>
      <c r="AI155">
        <f ca="1">IF($C155-AI$1&lt;År1,0,AH154*(1-VLOOKUP($A155,[1]Hugst!$R$5:$W$9,MATCH(ROUNDUP((AI$1)/10,0)*10,[1]Hugst!$R$4:$W$4,0))))</f>
        <v>0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0</v>
      </c>
      <c r="E156">
        <f t="shared" ca="1" si="3"/>
        <v>0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>
        <f ca="1">IF($C156-G$1&lt;År1,0,F155*(1-VLOOKUP($A156,[1]Hugst!$R$5:$W$9,MATCH(ROUNDUP((G$1)/10,0)*10,[1]Hugst!$R$4:$W$4,0))))</f>
        <v>0</v>
      </c>
      <c r="H156">
        <f ca="1">IF($C156-H$1&lt;År1,0,G155*(1-VLOOKUP($A156,[1]Hugst!$R$5:$W$9,MATCH(ROUNDUP((H$1)/10,0)*10,[1]Hugst!$R$4:$W$4,0))))</f>
        <v>0</v>
      </c>
      <c r="I156">
        <f ca="1">IF($C156-I$1&lt;År1,0,H155*(1-VLOOKUP($A156,[1]Hugst!$R$5:$W$9,MATCH(ROUNDUP((I$1)/10,0)*10,[1]Hugst!$R$4:$W$4,0))))</f>
        <v>0</v>
      </c>
      <c r="J156">
        <f ca="1">IF($C156-J$1&lt;År1,0,I155*(1-VLOOKUP($A156,[1]Hugst!$R$5:$W$9,MATCH(ROUNDUP((J$1)/10,0)*10,[1]Hugst!$R$4:$W$4,0))))</f>
        <v>0</v>
      </c>
      <c r="K156">
        <f ca="1">IF($C156-K$1&lt;År1,0,J155*(1-VLOOKUP($A156,[1]Hugst!$R$5:$W$9,MATCH(ROUNDUP((K$1)/10,0)*10,[1]Hugst!$R$4:$W$4,0))))</f>
        <v>0</v>
      </c>
      <c r="L156">
        <f ca="1">IF($C156-L$1&lt;År1,0,K155*(1-VLOOKUP($A156,[1]Hugst!$R$5:$W$9,MATCH(ROUNDUP((L$1)/10,0)*10,[1]Hugst!$R$4:$W$4,0))))</f>
        <v>0</v>
      </c>
      <c r="M156">
        <f ca="1">IF($C156-M$1&lt;År1,0,L155*(1-VLOOKUP($A156,[1]Hugst!$R$5:$W$9,MATCH(ROUNDUP((M$1)/10,0)*10,[1]Hugst!$R$4:$W$4,0))))</f>
        <v>0</v>
      </c>
      <c r="N156">
        <f ca="1">IF($C156-N$1&lt;År1,0,M155*(1-VLOOKUP($A156,[1]Hugst!$R$5:$W$9,MATCH(ROUNDUP((N$1)/10,0)*10,[1]Hugst!$R$4:$W$4,0))))</f>
        <v>0</v>
      </c>
      <c r="O156">
        <f ca="1">IF($C156-O$1&lt;År1,0,N155*(1-VLOOKUP($A156,[1]Hugst!$R$5:$W$9,MATCH(ROUNDUP((O$1)/10,0)*10,[1]Hugst!$R$4:$W$4,0))))</f>
        <v>0</v>
      </c>
      <c r="P156">
        <f ca="1">IF($C156-P$1&lt;År1,0,O155*(1-VLOOKUP($A156,[1]Hugst!$R$5:$W$9,MATCH(ROUNDUP((P$1)/10,0)*10,[1]Hugst!$R$4:$W$4,0))))</f>
        <v>0</v>
      </c>
      <c r="Q156">
        <f ca="1">IF($C156-Q$1&lt;År1,0,P155*(1-VLOOKUP($A156,[1]Hugst!$R$5:$W$9,MATCH(ROUNDUP((Q$1)/10,0)*10,[1]Hugst!$R$4:$W$4,0))))</f>
        <v>0</v>
      </c>
      <c r="R156">
        <f ca="1">IF($C156-R$1&lt;År1,0,Q155*(1-VLOOKUP($A156,[1]Hugst!$R$5:$W$9,MATCH(ROUNDUP((R$1)/10,0)*10,[1]Hugst!$R$4:$W$4,0))))</f>
        <v>0</v>
      </c>
      <c r="S156">
        <f ca="1">IF($C156-S$1&lt;År1,0,R155*(1-VLOOKUP($A156,[1]Hugst!$R$5:$W$9,MATCH(ROUNDUP((S$1)/10,0)*10,[1]Hugst!$R$4:$W$4,0))))</f>
        <v>0</v>
      </c>
      <c r="T156">
        <f ca="1">IF($C156-T$1&lt;År1,0,S155*(1-VLOOKUP($A156,[1]Hugst!$R$5:$W$9,MATCH(ROUNDUP((T$1)/10,0)*10,[1]Hugst!$R$4:$W$4,0))))</f>
        <v>0</v>
      </c>
      <c r="U156">
        <f ca="1">IF($C156-U$1&lt;År1,0,T155*(1-VLOOKUP($A156,[1]Hugst!$R$5:$W$9,MATCH(ROUNDUP((U$1)/10,0)*10,[1]Hugst!$R$4:$W$4,0))))</f>
        <v>0</v>
      </c>
      <c r="V156">
        <f ca="1">IF($C156-V$1&lt;År1,0,U155*(1-VLOOKUP($A156,[1]Hugst!$R$5:$W$9,MATCH(ROUNDUP((V$1)/10,0)*10,[1]Hugst!$R$4:$W$4,0))))</f>
        <v>0</v>
      </c>
      <c r="W156">
        <f ca="1">IF($C156-W$1&lt;År1,0,V155*(1-VLOOKUP($A156,[1]Hugst!$R$5:$W$9,MATCH(ROUNDUP((W$1)/10,0)*10,[1]Hugst!$R$4:$W$4,0))))</f>
        <v>0</v>
      </c>
      <c r="X156">
        <f ca="1">IF($C156-X$1&lt;År1,0,W155*(1-VLOOKUP($A156,[1]Hugst!$R$5:$W$9,MATCH(ROUNDUP((X$1)/10,0)*10,[1]Hugst!$R$4:$W$4,0))))</f>
        <v>0</v>
      </c>
      <c r="Y156">
        <f ca="1">IF($C156-Y$1&lt;År1,0,X155*(1-VLOOKUP($A156,[1]Hugst!$R$5:$W$9,MATCH(ROUNDUP((Y$1)/10,0)*10,[1]Hugst!$R$4:$W$4,0))))</f>
        <v>0</v>
      </c>
      <c r="Z156">
        <f ca="1">IF($C156-Z$1&lt;År1,0,Y155*(1-VLOOKUP($A156,[1]Hugst!$R$5:$W$9,MATCH(ROUNDUP((Z$1)/10,0)*10,[1]Hugst!$R$4:$W$4,0))))</f>
        <v>0</v>
      </c>
      <c r="AA156">
        <f ca="1">IF($C156-AA$1&lt;År1,0,Z155*(1-VLOOKUP($A156,[1]Hugst!$R$5:$W$9,MATCH(ROUNDUP((AA$1)/10,0)*10,[1]Hugst!$R$4:$W$4,0))))</f>
        <v>0</v>
      </c>
      <c r="AB156">
        <f ca="1">IF($C156-AB$1&lt;År1,0,AA155*(1-VLOOKUP($A156,[1]Hugst!$R$5:$W$9,MATCH(ROUNDUP((AB$1)/10,0)*10,[1]Hugst!$R$4:$W$4,0))))</f>
        <v>0</v>
      </c>
      <c r="AC156">
        <f ca="1">IF($C156-AC$1&lt;År1,0,AB155*(1-VLOOKUP($A156,[1]Hugst!$R$5:$W$9,MATCH(ROUNDUP((AC$1)/10,0)*10,[1]Hugst!$R$4:$W$4,0))))</f>
        <v>0</v>
      </c>
      <c r="AD156">
        <f ca="1">IF($C156-AD$1&lt;År1,0,AC155*(1-VLOOKUP($A156,[1]Hugst!$R$5:$W$9,MATCH(ROUNDUP((AD$1)/10,0)*10,[1]Hugst!$R$4:$W$4,0))))</f>
        <v>0</v>
      </c>
      <c r="AE156">
        <f ca="1">IF($C156-AE$1&lt;År1,0,AD155*(1-VLOOKUP($A156,[1]Hugst!$R$5:$W$9,MATCH(ROUNDUP((AE$1)/10,0)*10,[1]Hugst!$R$4:$W$4,0))))</f>
        <v>0</v>
      </c>
      <c r="AF156">
        <f ca="1">IF($C156-AF$1&lt;År1,0,AE155*(1-VLOOKUP($A156,[1]Hugst!$R$5:$W$9,MATCH(ROUNDUP((AF$1)/10,0)*10,[1]Hugst!$R$4:$W$4,0))))</f>
        <v>0</v>
      </c>
      <c r="AG156">
        <f ca="1">IF($C156-AG$1&lt;År1,0,AF155*(1-VLOOKUP($A156,[1]Hugst!$R$5:$W$9,MATCH(ROUNDUP((AG$1)/10,0)*10,[1]Hugst!$R$4:$W$4,0))))</f>
        <v>0</v>
      </c>
      <c r="AH156">
        <f ca="1">IF($C156-AH$1&lt;År1,0,AG155*(1-VLOOKUP($A156,[1]Hugst!$R$5:$W$9,MATCH(ROUNDUP((AH$1)/10,0)*10,[1]Hugst!$R$4:$W$4,0))))</f>
        <v>0</v>
      </c>
      <c r="AI156">
        <f ca="1">IF($C156-AI$1&lt;År1,0,AH155*(1-VLOOKUP($A156,[1]Hugst!$R$5:$W$9,MATCH(ROUNDUP((AI$1)/10,0)*10,[1]Hugst!$R$4:$W$4,0))))</f>
        <v>0</v>
      </c>
      <c r="AJ156">
        <f ca="1">IF($C156-AJ$1&lt;År1,0,AI155*(1-VLOOKUP($A156,[1]Hugst!$R$5:$W$9,MATCH(ROUNDUP((AJ$1)/10,0)*10,[1]Hugst!$R$4:$W$4,0))))</f>
        <v>0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0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0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>
        <f ca="1">IF($C158-G$1&lt;År1,0,F157*(1-VLOOKUP($A158,[1]Hugst!$R$5:$W$9,MATCH(ROUNDUP((G$1)/10,0)*10,[1]Hugst!$R$4:$W$4,0))))</f>
        <v>0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0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>
        <f ca="1">IF($C159-G$1&lt;År1,0,F158*(1-VLOOKUP($A159,[1]Hugst!$R$5:$W$9,MATCH(ROUNDUP((G$1)/10,0)*10,[1]Hugst!$R$4:$W$4,0))))</f>
        <v>0</v>
      </c>
      <c r="H159">
        <f ca="1">IF($C159-H$1&lt;År1,0,G158*(1-VLOOKUP($A159,[1]Hugst!$R$5:$W$9,MATCH(ROUNDUP((H$1)/10,0)*10,[1]Hugst!$R$4:$W$4,0))))</f>
        <v>0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0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>
        <f ca="1">IF($C160-G$1&lt;År1,0,F159*(1-VLOOKUP($A160,[1]Hugst!$R$5:$W$9,MATCH(ROUNDUP((G$1)/10,0)*10,[1]Hugst!$R$4:$W$4,0))))</f>
        <v>0</v>
      </c>
      <c r="H160">
        <f ca="1">IF($C160-H$1&lt;År1,0,G159*(1-VLOOKUP($A160,[1]Hugst!$R$5:$W$9,MATCH(ROUNDUP((H$1)/10,0)*10,[1]Hugst!$R$4:$W$4,0))))</f>
        <v>0</v>
      </c>
      <c r="I160">
        <f ca="1">IF($C160-I$1&lt;År1,0,H159*(1-VLOOKUP($A160,[1]Hugst!$R$5:$W$9,MATCH(ROUNDUP((I$1)/10,0)*10,[1]Hugst!$R$4:$W$4,0))))</f>
        <v>0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0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>
        <f ca="1">IF($C161-G$1&lt;År1,0,F160*(1-VLOOKUP($A161,[1]Hugst!$R$5:$W$9,MATCH(ROUNDUP((G$1)/10,0)*10,[1]Hugst!$R$4:$W$4,0))))</f>
        <v>0</v>
      </c>
      <c r="H161">
        <f ca="1">IF($C161-H$1&lt;År1,0,G160*(1-VLOOKUP($A161,[1]Hugst!$R$5:$W$9,MATCH(ROUNDUP((H$1)/10,0)*10,[1]Hugst!$R$4:$W$4,0))))</f>
        <v>0</v>
      </c>
      <c r="I161">
        <f ca="1">IF($C161-I$1&lt;År1,0,H160*(1-VLOOKUP($A161,[1]Hugst!$R$5:$W$9,MATCH(ROUNDUP((I$1)/10,0)*10,[1]Hugst!$R$4:$W$4,0))))</f>
        <v>0</v>
      </c>
      <c r="J161">
        <f ca="1">IF($C161-J$1&lt;År1,0,I160*(1-VLOOKUP($A161,[1]Hugst!$R$5:$W$9,MATCH(ROUNDUP((J$1)/10,0)*10,[1]Hugst!$R$4:$W$4,0))))</f>
        <v>0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0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>
        <f ca="1">IF($C162-G$1&lt;År1,0,F161*(1-VLOOKUP($A162,[1]Hugst!$R$5:$W$9,MATCH(ROUNDUP((G$1)/10,0)*10,[1]Hugst!$R$4:$W$4,0))))</f>
        <v>0</v>
      </c>
      <c r="H162">
        <f ca="1">IF($C162-H$1&lt;År1,0,G161*(1-VLOOKUP($A162,[1]Hugst!$R$5:$W$9,MATCH(ROUNDUP((H$1)/10,0)*10,[1]Hugst!$R$4:$W$4,0))))</f>
        <v>0</v>
      </c>
      <c r="I162">
        <f ca="1">IF($C162-I$1&lt;År1,0,H161*(1-VLOOKUP($A162,[1]Hugst!$R$5:$W$9,MATCH(ROUNDUP((I$1)/10,0)*10,[1]Hugst!$R$4:$W$4,0))))</f>
        <v>0</v>
      </c>
      <c r="J162">
        <f ca="1">IF($C162-J$1&lt;År1,0,I161*(1-VLOOKUP($A162,[1]Hugst!$R$5:$W$9,MATCH(ROUNDUP((J$1)/10,0)*10,[1]Hugst!$R$4:$W$4,0))))</f>
        <v>0</v>
      </c>
      <c r="K162">
        <f ca="1">IF($C162-K$1&lt;År1,0,J161*(1-VLOOKUP($A162,[1]Hugst!$R$5:$W$9,MATCH(ROUNDUP((K$1)/10,0)*10,[1]Hugst!$R$4:$W$4,0))))</f>
        <v>0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0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>
        <f ca="1">IF($C163-G$1&lt;År1,0,F162*(1-VLOOKUP($A163,[1]Hugst!$R$5:$W$9,MATCH(ROUNDUP((G$1)/10,0)*10,[1]Hugst!$R$4:$W$4,0))))</f>
        <v>0</v>
      </c>
      <c r="H163">
        <f ca="1">IF($C163-H$1&lt;År1,0,G162*(1-VLOOKUP($A163,[1]Hugst!$R$5:$W$9,MATCH(ROUNDUP((H$1)/10,0)*10,[1]Hugst!$R$4:$W$4,0))))</f>
        <v>0</v>
      </c>
      <c r="I163">
        <f ca="1">IF($C163-I$1&lt;År1,0,H162*(1-VLOOKUP($A163,[1]Hugst!$R$5:$W$9,MATCH(ROUNDUP((I$1)/10,0)*10,[1]Hugst!$R$4:$W$4,0))))</f>
        <v>0</v>
      </c>
      <c r="J163">
        <f ca="1">IF($C163-J$1&lt;År1,0,I162*(1-VLOOKUP($A163,[1]Hugst!$R$5:$W$9,MATCH(ROUNDUP((J$1)/10,0)*10,[1]Hugst!$R$4:$W$4,0))))</f>
        <v>0</v>
      </c>
      <c r="K163">
        <f ca="1">IF($C163-K$1&lt;År1,0,J162*(1-VLOOKUP($A163,[1]Hugst!$R$5:$W$9,MATCH(ROUNDUP((K$1)/10,0)*10,[1]Hugst!$R$4:$W$4,0))))</f>
        <v>0</v>
      </c>
      <c r="L163">
        <f ca="1">IF($C163-L$1&lt;År1,0,K162*(1-VLOOKUP($A163,[1]Hugst!$R$5:$W$9,MATCH(ROUNDUP((L$1)/10,0)*10,[1]Hugst!$R$4:$W$4,0))))</f>
        <v>0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0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>
        <f ca="1">IF($C164-G$1&lt;År1,0,F163*(1-VLOOKUP($A164,[1]Hugst!$R$5:$W$9,MATCH(ROUNDUP((G$1)/10,0)*10,[1]Hugst!$R$4:$W$4,0))))</f>
        <v>0</v>
      </c>
      <c r="H164">
        <f ca="1">IF($C164-H$1&lt;År1,0,G163*(1-VLOOKUP($A164,[1]Hugst!$R$5:$W$9,MATCH(ROUNDUP((H$1)/10,0)*10,[1]Hugst!$R$4:$W$4,0))))</f>
        <v>0</v>
      </c>
      <c r="I164">
        <f ca="1">IF($C164-I$1&lt;År1,0,H163*(1-VLOOKUP($A164,[1]Hugst!$R$5:$W$9,MATCH(ROUNDUP((I$1)/10,0)*10,[1]Hugst!$R$4:$W$4,0))))</f>
        <v>0</v>
      </c>
      <c r="J164">
        <f ca="1">IF($C164-J$1&lt;År1,0,I163*(1-VLOOKUP($A164,[1]Hugst!$R$5:$W$9,MATCH(ROUNDUP((J$1)/10,0)*10,[1]Hugst!$R$4:$W$4,0))))</f>
        <v>0</v>
      </c>
      <c r="K164">
        <f ca="1">IF($C164-K$1&lt;År1,0,J163*(1-VLOOKUP($A164,[1]Hugst!$R$5:$W$9,MATCH(ROUNDUP((K$1)/10,0)*10,[1]Hugst!$R$4:$W$4,0))))</f>
        <v>0</v>
      </c>
      <c r="L164">
        <f ca="1">IF($C164-L$1&lt;År1,0,K163*(1-VLOOKUP($A164,[1]Hugst!$R$5:$W$9,MATCH(ROUNDUP((L$1)/10,0)*10,[1]Hugst!$R$4:$W$4,0))))</f>
        <v>0</v>
      </c>
      <c r="M164">
        <f ca="1">IF($C164-M$1&lt;År1,0,L163*(1-VLOOKUP($A164,[1]Hugst!$R$5:$W$9,MATCH(ROUNDUP((M$1)/10,0)*10,[1]Hugst!$R$4:$W$4,0))))</f>
        <v>0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0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>
        <f ca="1">IF($C165-G$1&lt;År1,0,F164*(1-VLOOKUP($A165,[1]Hugst!$R$5:$W$9,MATCH(ROUNDUP((G$1)/10,0)*10,[1]Hugst!$R$4:$W$4,0))))</f>
        <v>0</v>
      </c>
      <c r="H165">
        <f ca="1">IF($C165-H$1&lt;År1,0,G164*(1-VLOOKUP($A165,[1]Hugst!$R$5:$W$9,MATCH(ROUNDUP((H$1)/10,0)*10,[1]Hugst!$R$4:$W$4,0))))</f>
        <v>0</v>
      </c>
      <c r="I165">
        <f ca="1">IF($C165-I$1&lt;År1,0,H164*(1-VLOOKUP($A165,[1]Hugst!$R$5:$W$9,MATCH(ROUNDUP((I$1)/10,0)*10,[1]Hugst!$R$4:$W$4,0))))</f>
        <v>0</v>
      </c>
      <c r="J165">
        <f ca="1">IF($C165-J$1&lt;År1,0,I164*(1-VLOOKUP($A165,[1]Hugst!$R$5:$W$9,MATCH(ROUNDUP((J$1)/10,0)*10,[1]Hugst!$R$4:$W$4,0))))</f>
        <v>0</v>
      </c>
      <c r="K165">
        <f ca="1">IF($C165-K$1&lt;År1,0,J164*(1-VLOOKUP($A165,[1]Hugst!$R$5:$W$9,MATCH(ROUNDUP((K$1)/10,0)*10,[1]Hugst!$R$4:$W$4,0))))</f>
        <v>0</v>
      </c>
      <c r="L165">
        <f ca="1">IF($C165-L$1&lt;År1,0,K164*(1-VLOOKUP($A165,[1]Hugst!$R$5:$W$9,MATCH(ROUNDUP((L$1)/10,0)*10,[1]Hugst!$R$4:$W$4,0))))</f>
        <v>0</v>
      </c>
      <c r="M165">
        <f ca="1">IF($C165-M$1&lt;År1,0,L164*(1-VLOOKUP($A165,[1]Hugst!$R$5:$W$9,MATCH(ROUNDUP((M$1)/10,0)*10,[1]Hugst!$R$4:$W$4,0))))</f>
        <v>0</v>
      </c>
      <c r="N165">
        <f ca="1">IF($C165-N$1&lt;År1,0,M164*(1-VLOOKUP($A165,[1]Hugst!$R$5:$W$9,MATCH(ROUNDUP((N$1)/10,0)*10,[1]Hugst!$R$4:$W$4,0))))</f>
        <v>0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0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>
        <f ca="1">IF($C166-G$1&lt;År1,0,F165*(1-VLOOKUP($A166,[1]Hugst!$R$5:$W$9,MATCH(ROUNDUP((G$1)/10,0)*10,[1]Hugst!$R$4:$W$4,0))))</f>
        <v>0</v>
      </c>
      <c r="H166">
        <f ca="1">IF($C166-H$1&lt;År1,0,G165*(1-VLOOKUP($A166,[1]Hugst!$R$5:$W$9,MATCH(ROUNDUP((H$1)/10,0)*10,[1]Hugst!$R$4:$W$4,0))))</f>
        <v>0</v>
      </c>
      <c r="I166">
        <f ca="1">IF($C166-I$1&lt;År1,0,H165*(1-VLOOKUP($A166,[1]Hugst!$R$5:$W$9,MATCH(ROUNDUP((I$1)/10,0)*10,[1]Hugst!$R$4:$W$4,0))))</f>
        <v>0</v>
      </c>
      <c r="J166">
        <f ca="1">IF($C166-J$1&lt;År1,0,I165*(1-VLOOKUP($A166,[1]Hugst!$R$5:$W$9,MATCH(ROUNDUP((J$1)/10,0)*10,[1]Hugst!$R$4:$W$4,0))))</f>
        <v>0</v>
      </c>
      <c r="K166">
        <f ca="1">IF($C166-K$1&lt;År1,0,J165*(1-VLOOKUP($A166,[1]Hugst!$R$5:$W$9,MATCH(ROUNDUP((K$1)/10,0)*10,[1]Hugst!$R$4:$W$4,0))))</f>
        <v>0</v>
      </c>
      <c r="L166">
        <f ca="1">IF($C166-L$1&lt;År1,0,K165*(1-VLOOKUP($A166,[1]Hugst!$R$5:$W$9,MATCH(ROUNDUP((L$1)/10,0)*10,[1]Hugst!$R$4:$W$4,0))))</f>
        <v>0</v>
      </c>
      <c r="M166">
        <f ca="1">IF($C166-M$1&lt;År1,0,L165*(1-VLOOKUP($A166,[1]Hugst!$R$5:$W$9,MATCH(ROUNDUP((M$1)/10,0)*10,[1]Hugst!$R$4:$W$4,0))))</f>
        <v>0</v>
      </c>
      <c r="N166">
        <f ca="1">IF($C166-N$1&lt;År1,0,M165*(1-VLOOKUP($A166,[1]Hugst!$R$5:$W$9,MATCH(ROUNDUP((N$1)/10,0)*10,[1]Hugst!$R$4:$W$4,0))))</f>
        <v>0</v>
      </c>
      <c r="O166">
        <f ca="1">IF($C166-O$1&lt;År1,0,N165*(1-VLOOKUP($A166,[1]Hugst!$R$5:$W$9,MATCH(ROUNDUP((O$1)/10,0)*10,[1]Hugst!$R$4:$W$4,0))))</f>
        <v>0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0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>
        <f ca="1">IF($C167-G$1&lt;År1,0,F166*(1-VLOOKUP($A167,[1]Hugst!$R$5:$W$9,MATCH(ROUNDUP((G$1)/10,0)*10,[1]Hugst!$R$4:$W$4,0))))</f>
        <v>0</v>
      </c>
      <c r="H167">
        <f ca="1">IF($C167-H$1&lt;År1,0,G166*(1-VLOOKUP($A167,[1]Hugst!$R$5:$W$9,MATCH(ROUNDUP((H$1)/10,0)*10,[1]Hugst!$R$4:$W$4,0))))</f>
        <v>0</v>
      </c>
      <c r="I167">
        <f ca="1">IF($C167-I$1&lt;År1,0,H166*(1-VLOOKUP($A167,[1]Hugst!$R$5:$W$9,MATCH(ROUNDUP((I$1)/10,0)*10,[1]Hugst!$R$4:$W$4,0))))</f>
        <v>0</v>
      </c>
      <c r="J167">
        <f ca="1">IF($C167-J$1&lt;År1,0,I166*(1-VLOOKUP($A167,[1]Hugst!$R$5:$W$9,MATCH(ROUNDUP((J$1)/10,0)*10,[1]Hugst!$R$4:$W$4,0))))</f>
        <v>0</v>
      </c>
      <c r="K167">
        <f ca="1">IF($C167-K$1&lt;År1,0,J166*(1-VLOOKUP($A167,[1]Hugst!$R$5:$W$9,MATCH(ROUNDUP((K$1)/10,0)*10,[1]Hugst!$R$4:$W$4,0))))</f>
        <v>0</v>
      </c>
      <c r="L167">
        <f ca="1">IF($C167-L$1&lt;År1,0,K166*(1-VLOOKUP($A167,[1]Hugst!$R$5:$W$9,MATCH(ROUNDUP((L$1)/10,0)*10,[1]Hugst!$R$4:$W$4,0))))</f>
        <v>0</v>
      </c>
      <c r="M167">
        <f ca="1">IF($C167-M$1&lt;År1,0,L166*(1-VLOOKUP($A167,[1]Hugst!$R$5:$W$9,MATCH(ROUNDUP((M$1)/10,0)*10,[1]Hugst!$R$4:$W$4,0))))</f>
        <v>0</v>
      </c>
      <c r="N167">
        <f ca="1">IF($C167-N$1&lt;År1,0,M166*(1-VLOOKUP($A167,[1]Hugst!$R$5:$W$9,MATCH(ROUNDUP((N$1)/10,0)*10,[1]Hugst!$R$4:$W$4,0))))</f>
        <v>0</v>
      </c>
      <c r="O167">
        <f ca="1">IF($C167-O$1&lt;År1,0,N166*(1-VLOOKUP($A167,[1]Hugst!$R$5:$W$9,MATCH(ROUNDUP((O$1)/10,0)*10,[1]Hugst!$R$4:$W$4,0))))</f>
        <v>0</v>
      </c>
      <c r="P167">
        <f ca="1">IF($C167-P$1&lt;År1,0,O166*(1-VLOOKUP($A167,[1]Hugst!$R$5:$W$9,MATCH(ROUNDUP((P$1)/10,0)*10,[1]Hugst!$R$4:$W$4,0))))</f>
        <v>0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0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>
        <f ca="1">IF($C168-G$1&lt;År1,0,F167*(1-VLOOKUP($A168,[1]Hugst!$R$5:$W$9,MATCH(ROUNDUP((G$1)/10,0)*10,[1]Hugst!$R$4:$W$4,0))))</f>
        <v>0</v>
      </c>
      <c r="H168">
        <f ca="1">IF($C168-H$1&lt;År1,0,G167*(1-VLOOKUP($A168,[1]Hugst!$R$5:$W$9,MATCH(ROUNDUP((H$1)/10,0)*10,[1]Hugst!$R$4:$W$4,0))))</f>
        <v>0</v>
      </c>
      <c r="I168">
        <f ca="1">IF($C168-I$1&lt;År1,0,H167*(1-VLOOKUP($A168,[1]Hugst!$R$5:$W$9,MATCH(ROUNDUP((I$1)/10,0)*10,[1]Hugst!$R$4:$W$4,0))))</f>
        <v>0</v>
      </c>
      <c r="J168">
        <f ca="1">IF($C168-J$1&lt;År1,0,I167*(1-VLOOKUP($A168,[1]Hugst!$R$5:$W$9,MATCH(ROUNDUP((J$1)/10,0)*10,[1]Hugst!$R$4:$W$4,0))))</f>
        <v>0</v>
      </c>
      <c r="K168">
        <f ca="1">IF($C168-K$1&lt;År1,0,J167*(1-VLOOKUP($A168,[1]Hugst!$R$5:$W$9,MATCH(ROUNDUP((K$1)/10,0)*10,[1]Hugst!$R$4:$W$4,0))))</f>
        <v>0</v>
      </c>
      <c r="L168">
        <f ca="1">IF($C168-L$1&lt;År1,0,K167*(1-VLOOKUP($A168,[1]Hugst!$R$5:$W$9,MATCH(ROUNDUP((L$1)/10,0)*10,[1]Hugst!$R$4:$W$4,0))))</f>
        <v>0</v>
      </c>
      <c r="M168">
        <f ca="1">IF($C168-M$1&lt;År1,0,L167*(1-VLOOKUP($A168,[1]Hugst!$R$5:$W$9,MATCH(ROUNDUP((M$1)/10,0)*10,[1]Hugst!$R$4:$W$4,0))))</f>
        <v>0</v>
      </c>
      <c r="N168">
        <f ca="1">IF($C168-N$1&lt;År1,0,M167*(1-VLOOKUP($A168,[1]Hugst!$R$5:$W$9,MATCH(ROUNDUP((N$1)/10,0)*10,[1]Hugst!$R$4:$W$4,0))))</f>
        <v>0</v>
      </c>
      <c r="O168">
        <f ca="1">IF($C168-O$1&lt;År1,0,N167*(1-VLOOKUP($A168,[1]Hugst!$R$5:$W$9,MATCH(ROUNDUP((O$1)/10,0)*10,[1]Hugst!$R$4:$W$4,0))))</f>
        <v>0</v>
      </c>
      <c r="P168">
        <f ca="1">IF($C168-P$1&lt;År1,0,O167*(1-VLOOKUP($A168,[1]Hugst!$R$5:$W$9,MATCH(ROUNDUP((P$1)/10,0)*10,[1]Hugst!$R$4:$W$4,0))))</f>
        <v>0</v>
      </c>
      <c r="Q168">
        <f ca="1">IF($C168-Q$1&lt;År1,0,P167*(1-VLOOKUP($A168,[1]Hugst!$R$5:$W$9,MATCH(ROUNDUP((Q$1)/10,0)*10,[1]Hugst!$R$4:$W$4,0))))</f>
        <v>0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0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>
        <f ca="1">IF($C169-G$1&lt;År1,0,F168*(1-VLOOKUP($A169,[1]Hugst!$R$5:$W$9,MATCH(ROUNDUP((G$1)/10,0)*10,[1]Hugst!$R$4:$W$4,0))))</f>
        <v>0</v>
      </c>
      <c r="H169">
        <f ca="1">IF($C169-H$1&lt;År1,0,G168*(1-VLOOKUP($A169,[1]Hugst!$R$5:$W$9,MATCH(ROUNDUP((H$1)/10,0)*10,[1]Hugst!$R$4:$W$4,0))))</f>
        <v>0</v>
      </c>
      <c r="I169">
        <f ca="1">IF($C169-I$1&lt;År1,0,H168*(1-VLOOKUP($A169,[1]Hugst!$R$5:$W$9,MATCH(ROUNDUP((I$1)/10,0)*10,[1]Hugst!$R$4:$W$4,0))))</f>
        <v>0</v>
      </c>
      <c r="J169">
        <f ca="1">IF($C169-J$1&lt;År1,0,I168*(1-VLOOKUP($A169,[1]Hugst!$R$5:$W$9,MATCH(ROUNDUP((J$1)/10,0)*10,[1]Hugst!$R$4:$W$4,0))))</f>
        <v>0</v>
      </c>
      <c r="K169">
        <f ca="1">IF($C169-K$1&lt;År1,0,J168*(1-VLOOKUP($A169,[1]Hugst!$R$5:$W$9,MATCH(ROUNDUP((K$1)/10,0)*10,[1]Hugst!$R$4:$W$4,0))))</f>
        <v>0</v>
      </c>
      <c r="L169">
        <f ca="1">IF($C169-L$1&lt;År1,0,K168*(1-VLOOKUP($A169,[1]Hugst!$R$5:$W$9,MATCH(ROUNDUP((L$1)/10,0)*10,[1]Hugst!$R$4:$W$4,0))))</f>
        <v>0</v>
      </c>
      <c r="M169">
        <f ca="1">IF($C169-M$1&lt;År1,0,L168*(1-VLOOKUP($A169,[1]Hugst!$R$5:$W$9,MATCH(ROUNDUP((M$1)/10,0)*10,[1]Hugst!$R$4:$W$4,0))))</f>
        <v>0</v>
      </c>
      <c r="N169">
        <f ca="1">IF($C169-N$1&lt;År1,0,M168*(1-VLOOKUP($A169,[1]Hugst!$R$5:$W$9,MATCH(ROUNDUP((N$1)/10,0)*10,[1]Hugst!$R$4:$W$4,0))))</f>
        <v>0</v>
      </c>
      <c r="O169">
        <f ca="1">IF($C169-O$1&lt;År1,0,N168*(1-VLOOKUP($A169,[1]Hugst!$R$5:$W$9,MATCH(ROUNDUP((O$1)/10,0)*10,[1]Hugst!$R$4:$W$4,0))))</f>
        <v>0</v>
      </c>
      <c r="P169">
        <f ca="1">IF($C169-P$1&lt;År1,0,O168*(1-VLOOKUP($A169,[1]Hugst!$R$5:$W$9,MATCH(ROUNDUP((P$1)/10,0)*10,[1]Hugst!$R$4:$W$4,0))))</f>
        <v>0</v>
      </c>
      <c r="Q169">
        <f ca="1">IF($C169-Q$1&lt;År1,0,P168*(1-VLOOKUP($A169,[1]Hugst!$R$5:$W$9,MATCH(ROUNDUP((Q$1)/10,0)*10,[1]Hugst!$R$4:$W$4,0))))</f>
        <v>0</v>
      </c>
      <c r="R169">
        <f ca="1">IF($C169-R$1&lt;År1,0,Q168*(1-VLOOKUP($A169,[1]Hugst!$R$5:$W$9,MATCH(ROUNDUP((R$1)/10,0)*10,[1]Hugst!$R$4:$W$4,0))))</f>
        <v>0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0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>
        <f ca="1">IF($C170-G$1&lt;År1,0,F169*(1-VLOOKUP($A170,[1]Hugst!$R$5:$W$9,MATCH(ROUNDUP((G$1)/10,0)*10,[1]Hugst!$R$4:$W$4,0))))</f>
        <v>0</v>
      </c>
      <c r="H170">
        <f ca="1">IF($C170-H$1&lt;År1,0,G169*(1-VLOOKUP($A170,[1]Hugst!$R$5:$W$9,MATCH(ROUNDUP((H$1)/10,0)*10,[1]Hugst!$R$4:$W$4,0))))</f>
        <v>0</v>
      </c>
      <c r="I170">
        <f ca="1">IF($C170-I$1&lt;År1,0,H169*(1-VLOOKUP($A170,[1]Hugst!$R$5:$W$9,MATCH(ROUNDUP((I$1)/10,0)*10,[1]Hugst!$R$4:$W$4,0))))</f>
        <v>0</v>
      </c>
      <c r="J170">
        <f ca="1">IF($C170-J$1&lt;År1,0,I169*(1-VLOOKUP($A170,[1]Hugst!$R$5:$W$9,MATCH(ROUNDUP((J$1)/10,0)*10,[1]Hugst!$R$4:$W$4,0))))</f>
        <v>0</v>
      </c>
      <c r="K170">
        <f ca="1">IF($C170-K$1&lt;År1,0,J169*(1-VLOOKUP($A170,[1]Hugst!$R$5:$W$9,MATCH(ROUNDUP((K$1)/10,0)*10,[1]Hugst!$R$4:$W$4,0))))</f>
        <v>0</v>
      </c>
      <c r="L170">
        <f ca="1">IF($C170-L$1&lt;År1,0,K169*(1-VLOOKUP($A170,[1]Hugst!$R$5:$W$9,MATCH(ROUNDUP((L$1)/10,0)*10,[1]Hugst!$R$4:$W$4,0))))</f>
        <v>0</v>
      </c>
      <c r="M170">
        <f ca="1">IF($C170-M$1&lt;År1,0,L169*(1-VLOOKUP($A170,[1]Hugst!$R$5:$W$9,MATCH(ROUNDUP((M$1)/10,0)*10,[1]Hugst!$R$4:$W$4,0))))</f>
        <v>0</v>
      </c>
      <c r="N170">
        <f ca="1">IF($C170-N$1&lt;År1,0,M169*(1-VLOOKUP($A170,[1]Hugst!$R$5:$W$9,MATCH(ROUNDUP((N$1)/10,0)*10,[1]Hugst!$R$4:$W$4,0))))</f>
        <v>0</v>
      </c>
      <c r="O170">
        <f ca="1">IF($C170-O$1&lt;År1,0,N169*(1-VLOOKUP($A170,[1]Hugst!$R$5:$W$9,MATCH(ROUNDUP((O$1)/10,0)*10,[1]Hugst!$R$4:$W$4,0))))</f>
        <v>0</v>
      </c>
      <c r="P170">
        <f ca="1">IF($C170-P$1&lt;År1,0,O169*(1-VLOOKUP($A170,[1]Hugst!$R$5:$W$9,MATCH(ROUNDUP((P$1)/10,0)*10,[1]Hugst!$R$4:$W$4,0))))</f>
        <v>0</v>
      </c>
      <c r="Q170">
        <f ca="1">IF($C170-Q$1&lt;År1,0,P169*(1-VLOOKUP($A170,[1]Hugst!$R$5:$W$9,MATCH(ROUNDUP((Q$1)/10,0)*10,[1]Hugst!$R$4:$W$4,0))))</f>
        <v>0</v>
      </c>
      <c r="R170">
        <f ca="1">IF($C170-R$1&lt;År1,0,Q169*(1-VLOOKUP($A170,[1]Hugst!$R$5:$W$9,MATCH(ROUNDUP((R$1)/10,0)*10,[1]Hugst!$R$4:$W$4,0))))</f>
        <v>0</v>
      </c>
      <c r="S170">
        <f ca="1">IF($C170-S$1&lt;År1,0,R169*(1-VLOOKUP($A170,[1]Hugst!$R$5:$W$9,MATCH(ROUNDUP((S$1)/10,0)*10,[1]Hugst!$R$4:$W$4,0))))</f>
        <v>0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0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>
        <f ca="1">IF($C171-G$1&lt;År1,0,F170*(1-VLOOKUP($A171,[1]Hugst!$R$5:$W$9,MATCH(ROUNDUP((G$1)/10,0)*10,[1]Hugst!$R$4:$W$4,0))))</f>
        <v>0</v>
      </c>
      <c r="H171">
        <f ca="1">IF($C171-H$1&lt;År1,0,G170*(1-VLOOKUP($A171,[1]Hugst!$R$5:$W$9,MATCH(ROUNDUP((H$1)/10,0)*10,[1]Hugst!$R$4:$W$4,0))))</f>
        <v>0</v>
      </c>
      <c r="I171">
        <f ca="1">IF($C171-I$1&lt;År1,0,H170*(1-VLOOKUP($A171,[1]Hugst!$R$5:$W$9,MATCH(ROUNDUP((I$1)/10,0)*10,[1]Hugst!$R$4:$W$4,0))))</f>
        <v>0</v>
      </c>
      <c r="J171">
        <f ca="1">IF($C171-J$1&lt;År1,0,I170*(1-VLOOKUP($A171,[1]Hugst!$R$5:$W$9,MATCH(ROUNDUP((J$1)/10,0)*10,[1]Hugst!$R$4:$W$4,0))))</f>
        <v>0</v>
      </c>
      <c r="K171">
        <f ca="1">IF($C171-K$1&lt;År1,0,J170*(1-VLOOKUP($A171,[1]Hugst!$R$5:$W$9,MATCH(ROUNDUP((K$1)/10,0)*10,[1]Hugst!$R$4:$W$4,0))))</f>
        <v>0</v>
      </c>
      <c r="L171">
        <f ca="1">IF($C171-L$1&lt;År1,0,K170*(1-VLOOKUP($A171,[1]Hugst!$R$5:$W$9,MATCH(ROUNDUP((L$1)/10,0)*10,[1]Hugst!$R$4:$W$4,0))))</f>
        <v>0</v>
      </c>
      <c r="M171">
        <f ca="1">IF($C171-M$1&lt;År1,0,L170*(1-VLOOKUP($A171,[1]Hugst!$R$5:$W$9,MATCH(ROUNDUP((M$1)/10,0)*10,[1]Hugst!$R$4:$W$4,0))))</f>
        <v>0</v>
      </c>
      <c r="N171">
        <f ca="1">IF($C171-N$1&lt;År1,0,M170*(1-VLOOKUP($A171,[1]Hugst!$R$5:$W$9,MATCH(ROUNDUP((N$1)/10,0)*10,[1]Hugst!$R$4:$W$4,0))))</f>
        <v>0</v>
      </c>
      <c r="O171">
        <f ca="1">IF($C171-O$1&lt;År1,0,N170*(1-VLOOKUP($A171,[1]Hugst!$R$5:$W$9,MATCH(ROUNDUP((O$1)/10,0)*10,[1]Hugst!$R$4:$W$4,0))))</f>
        <v>0</v>
      </c>
      <c r="P171">
        <f ca="1">IF($C171-P$1&lt;År1,0,O170*(1-VLOOKUP($A171,[1]Hugst!$R$5:$W$9,MATCH(ROUNDUP((P$1)/10,0)*10,[1]Hugst!$R$4:$W$4,0))))</f>
        <v>0</v>
      </c>
      <c r="Q171">
        <f ca="1">IF($C171-Q$1&lt;År1,0,P170*(1-VLOOKUP($A171,[1]Hugst!$R$5:$W$9,MATCH(ROUNDUP((Q$1)/10,0)*10,[1]Hugst!$R$4:$W$4,0))))</f>
        <v>0</v>
      </c>
      <c r="R171">
        <f ca="1">IF($C171-R$1&lt;År1,0,Q170*(1-VLOOKUP($A171,[1]Hugst!$R$5:$W$9,MATCH(ROUNDUP((R$1)/10,0)*10,[1]Hugst!$R$4:$W$4,0))))</f>
        <v>0</v>
      </c>
      <c r="S171">
        <f ca="1">IF($C171-S$1&lt;År1,0,R170*(1-VLOOKUP($A171,[1]Hugst!$R$5:$W$9,MATCH(ROUNDUP((S$1)/10,0)*10,[1]Hugst!$R$4:$W$4,0))))</f>
        <v>0</v>
      </c>
      <c r="T171">
        <f ca="1">IF($C171-T$1&lt;År1,0,S170*(1-VLOOKUP($A171,[1]Hugst!$R$5:$W$9,MATCH(ROUNDUP((T$1)/10,0)*10,[1]Hugst!$R$4:$W$4,0))))</f>
        <v>0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0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>
        <f ca="1">IF($C172-G$1&lt;År1,0,F171*(1-VLOOKUP($A172,[1]Hugst!$R$5:$W$9,MATCH(ROUNDUP((G$1)/10,0)*10,[1]Hugst!$R$4:$W$4,0))))</f>
        <v>0</v>
      </c>
      <c r="H172">
        <f ca="1">IF($C172-H$1&lt;År1,0,G171*(1-VLOOKUP($A172,[1]Hugst!$R$5:$W$9,MATCH(ROUNDUP((H$1)/10,0)*10,[1]Hugst!$R$4:$W$4,0))))</f>
        <v>0</v>
      </c>
      <c r="I172">
        <f ca="1">IF($C172-I$1&lt;År1,0,H171*(1-VLOOKUP($A172,[1]Hugst!$R$5:$W$9,MATCH(ROUNDUP((I$1)/10,0)*10,[1]Hugst!$R$4:$W$4,0))))</f>
        <v>0</v>
      </c>
      <c r="J172">
        <f ca="1">IF($C172-J$1&lt;År1,0,I171*(1-VLOOKUP($A172,[1]Hugst!$R$5:$W$9,MATCH(ROUNDUP((J$1)/10,0)*10,[1]Hugst!$R$4:$W$4,0))))</f>
        <v>0</v>
      </c>
      <c r="K172">
        <f ca="1">IF($C172-K$1&lt;År1,0,J171*(1-VLOOKUP($A172,[1]Hugst!$R$5:$W$9,MATCH(ROUNDUP((K$1)/10,0)*10,[1]Hugst!$R$4:$W$4,0))))</f>
        <v>0</v>
      </c>
      <c r="L172">
        <f ca="1">IF($C172-L$1&lt;År1,0,K171*(1-VLOOKUP($A172,[1]Hugst!$R$5:$W$9,MATCH(ROUNDUP((L$1)/10,0)*10,[1]Hugst!$R$4:$W$4,0))))</f>
        <v>0</v>
      </c>
      <c r="M172">
        <f ca="1">IF($C172-M$1&lt;År1,0,L171*(1-VLOOKUP($A172,[1]Hugst!$R$5:$W$9,MATCH(ROUNDUP((M$1)/10,0)*10,[1]Hugst!$R$4:$W$4,0))))</f>
        <v>0</v>
      </c>
      <c r="N172">
        <f ca="1">IF($C172-N$1&lt;År1,0,M171*(1-VLOOKUP($A172,[1]Hugst!$R$5:$W$9,MATCH(ROUNDUP((N$1)/10,0)*10,[1]Hugst!$R$4:$W$4,0))))</f>
        <v>0</v>
      </c>
      <c r="O172">
        <f ca="1">IF($C172-O$1&lt;År1,0,N171*(1-VLOOKUP($A172,[1]Hugst!$R$5:$W$9,MATCH(ROUNDUP((O$1)/10,0)*10,[1]Hugst!$R$4:$W$4,0))))</f>
        <v>0</v>
      </c>
      <c r="P172">
        <f ca="1">IF($C172-P$1&lt;År1,0,O171*(1-VLOOKUP($A172,[1]Hugst!$R$5:$W$9,MATCH(ROUNDUP((P$1)/10,0)*10,[1]Hugst!$R$4:$W$4,0))))</f>
        <v>0</v>
      </c>
      <c r="Q172">
        <f ca="1">IF($C172-Q$1&lt;År1,0,P171*(1-VLOOKUP($A172,[1]Hugst!$R$5:$W$9,MATCH(ROUNDUP((Q$1)/10,0)*10,[1]Hugst!$R$4:$W$4,0))))</f>
        <v>0</v>
      </c>
      <c r="R172">
        <f ca="1">IF($C172-R$1&lt;År1,0,Q171*(1-VLOOKUP($A172,[1]Hugst!$R$5:$W$9,MATCH(ROUNDUP((R$1)/10,0)*10,[1]Hugst!$R$4:$W$4,0))))</f>
        <v>0</v>
      </c>
      <c r="S172">
        <f ca="1">IF($C172-S$1&lt;År1,0,R171*(1-VLOOKUP($A172,[1]Hugst!$R$5:$W$9,MATCH(ROUNDUP((S$1)/10,0)*10,[1]Hugst!$R$4:$W$4,0))))</f>
        <v>0</v>
      </c>
      <c r="T172">
        <f ca="1">IF($C172-T$1&lt;År1,0,S171*(1-VLOOKUP($A172,[1]Hugst!$R$5:$W$9,MATCH(ROUNDUP((T$1)/10,0)*10,[1]Hugst!$R$4:$W$4,0))))</f>
        <v>0</v>
      </c>
      <c r="U172">
        <f ca="1">IF($C172-U$1&lt;År1,0,T171*(1-VLOOKUP($A172,[1]Hugst!$R$5:$W$9,MATCH(ROUNDUP((U$1)/10,0)*10,[1]Hugst!$R$4:$W$4,0))))</f>
        <v>0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0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>
        <f ca="1">IF($C173-G$1&lt;År1,0,F172*(1-VLOOKUP($A173,[1]Hugst!$R$5:$W$9,MATCH(ROUNDUP((G$1)/10,0)*10,[1]Hugst!$R$4:$W$4,0))))</f>
        <v>0</v>
      </c>
      <c r="H173">
        <f ca="1">IF($C173-H$1&lt;År1,0,G172*(1-VLOOKUP($A173,[1]Hugst!$R$5:$W$9,MATCH(ROUNDUP((H$1)/10,0)*10,[1]Hugst!$R$4:$W$4,0))))</f>
        <v>0</v>
      </c>
      <c r="I173">
        <f ca="1">IF($C173-I$1&lt;År1,0,H172*(1-VLOOKUP($A173,[1]Hugst!$R$5:$W$9,MATCH(ROUNDUP((I$1)/10,0)*10,[1]Hugst!$R$4:$W$4,0))))</f>
        <v>0</v>
      </c>
      <c r="J173">
        <f ca="1">IF($C173-J$1&lt;År1,0,I172*(1-VLOOKUP($A173,[1]Hugst!$R$5:$W$9,MATCH(ROUNDUP((J$1)/10,0)*10,[1]Hugst!$R$4:$W$4,0))))</f>
        <v>0</v>
      </c>
      <c r="K173">
        <f ca="1">IF($C173-K$1&lt;År1,0,J172*(1-VLOOKUP($A173,[1]Hugst!$R$5:$W$9,MATCH(ROUNDUP((K$1)/10,0)*10,[1]Hugst!$R$4:$W$4,0))))</f>
        <v>0</v>
      </c>
      <c r="L173">
        <f ca="1">IF($C173-L$1&lt;År1,0,K172*(1-VLOOKUP($A173,[1]Hugst!$R$5:$W$9,MATCH(ROUNDUP((L$1)/10,0)*10,[1]Hugst!$R$4:$W$4,0))))</f>
        <v>0</v>
      </c>
      <c r="M173">
        <f ca="1">IF($C173-M$1&lt;År1,0,L172*(1-VLOOKUP($A173,[1]Hugst!$R$5:$W$9,MATCH(ROUNDUP((M$1)/10,0)*10,[1]Hugst!$R$4:$W$4,0))))</f>
        <v>0</v>
      </c>
      <c r="N173">
        <f ca="1">IF($C173-N$1&lt;År1,0,M172*(1-VLOOKUP($A173,[1]Hugst!$R$5:$W$9,MATCH(ROUNDUP((N$1)/10,0)*10,[1]Hugst!$R$4:$W$4,0))))</f>
        <v>0</v>
      </c>
      <c r="O173">
        <f ca="1">IF($C173-O$1&lt;År1,0,N172*(1-VLOOKUP($A173,[1]Hugst!$R$5:$W$9,MATCH(ROUNDUP((O$1)/10,0)*10,[1]Hugst!$R$4:$W$4,0))))</f>
        <v>0</v>
      </c>
      <c r="P173">
        <f ca="1">IF($C173-P$1&lt;År1,0,O172*(1-VLOOKUP($A173,[1]Hugst!$R$5:$W$9,MATCH(ROUNDUP((P$1)/10,0)*10,[1]Hugst!$R$4:$W$4,0))))</f>
        <v>0</v>
      </c>
      <c r="Q173">
        <f ca="1">IF($C173-Q$1&lt;År1,0,P172*(1-VLOOKUP($A173,[1]Hugst!$R$5:$W$9,MATCH(ROUNDUP((Q$1)/10,0)*10,[1]Hugst!$R$4:$W$4,0))))</f>
        <v>0</v>
      </c>
      <c r="R173">
        <f ca="1">IF($C173-R$1&lt;År1,0,Q172*(1-VLOOKUP($A173,[1]Hugst!$R$5:$W$9,MATCH(ROUNDUP((R$1)/10,0)*10,[1]Hugst!$R$4:$W$4,0))))</f>
        <v>0</v>
      </c>
      <c r="S173">
        <f ca="1">IF($C173-S$1&lt;År1,0,R172*(1-VLOOKUP($A173,[1]Hugst!$R$5:$W$9,MATCH(ROUNDUP((S$1)/10,0)*10,[1]Hugst!$R$4:$W$4,0))))</f>
        <v>0</v>
      </c>
      <c r="T173">
        <f ca="1">IF($C173-T$1&lt;År1,0,S172*(1-VLOOKUP($A173,[1]Hugst!$R$5:$W$9,MATCH(ROUNDUP((T$1)/10,0)*10,[1]Hugst!$R$4:$W$4,0))))</f>
        <v>0</v>
      </c>
      <c r="U173">
        <f ca="1">IF($C173-U$1&lt;År1,0,T172*(1-VLOOKUP($A173,[1]Hugst!$R$5:$W$9,MATCH(ROUNDUP((U$1)/10,0)*10,[1]Hugst!$R$4:$W$4,0))))</f>
        <v>0</v>
      </c>
      <c r="V173">
        <f ca="1">IF($C173-V$1&lt;År1,0,U172*(1-VLOOKUP($A173,[1]Hugst!$R$5:$W$9,MATCH(ROUNDUP((V$1)/10,0)*10,[1]Hugst!$R$4:$W$4,0))))</f>
        <v>0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0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>
        <f ca="1">IF($C174-G$1&lt;År1,0,F173*(1-VLOOKUP($A174,[1]Hugst!$R$5:$W$9,MATCH(ROUNDUP((G$1)/10,0)*10,[1]Hugst!$R$4:$W$4,0))))</f>
        <v>0</v>
      </c>
      <c r="H174">
        <f ca="1">IF($C174-H$1&lt;År1,0,G173*(1-VLOOKUP($A174,[1]Hugst!$R$5:$W$9,MATCH(ROUNDUP((H$1)/10,0)*10,[1]Hugst!$R$4:$W$4,0))))</f>
        <v>0</v>
      </c>
      <c r="I174">
        <f ca="1">IF($C174-I$1&lt;År1,0,H173*(1-VLOOKUP($A174,[1]Hugst!$R$5:$W$9,MATCH(ROUNDUP((I$1)/10,0)*10,[1]Hugst!$R$4:$W$4,0))))</f>
        <v>0</v>
      </c>
      <c r="J174">
        <f ca="1">IF($C174-J$1&lt;År1,0,I173*(1-VLOOKUP($A174,[1]Hugst!$R$5:$W$9,MATCH(ROUNDUP((J$1)/10,0)*10,[1]Hugst!$R$4:$W$4,0))))</f>
        <v>0</v>
      </c>
      <c r="K174">
        <f ca="1">IF($C174-K$1&lt;År1,0,J173*(1-VLOOKUP($A174,[1]Hugst!$R$5:$W$9,MATCH(ROUNDUP((K$1)/10,0)*10,[1]Hugst!$R$4:$W$4,0))))</f>
        <v>0</v>
      </c>
      <c r="L174">
        <f ca="1">IF($C174-L$1&lt;År1,0,K173*(1-VLOOKUP($A174,[1]Hugst!$R$5:$W$9,MATCH(ROUNDUP((L$1)/10,0)*10,[1]Hugst!$R$4:$W$4,0))))</f>
        <v>0</v>
      </c>
      <c r="M174">
        <f ca="1">IF($C174-M$1&lt;År1,0,L173*(1-VLOOKUP($A174,[1]Hugst!$R$5:$W$9,MATCH(ROUNDUP((M$1)/10,0)*10,[1]Hugst!$R$4:$W$4,0))))</f>
        <v>0</v>
      </c>
      <c r="N174">
        <f ca="1">IF($C174-N$1&lt;År1,0,M173*(1-VLOOKUP($A174,[1]Hugst!$R$5:$W$9,MATCH(ROUNDUP((N$1)/10,0)*10,[1]Hugst!$R$4:$W$4,0))))</f>
        <v>0</v>
      </c>
      <c r="O174">
        <f ca="1">IF($C174-O$1&lt;År1,0,N173*(1-VLOOKUP($A174,[1]Hugst!$R$5:$W$9,MATCH(ROUNDUP((O$1)/10,0)*10,[1]Hugst!$R$4:$W$4,0))))</f>
        <v>0</v>
      </c>
      <c r="P174">
        <f ca="1">IF($C174-P$1&lt;År1,0,O173*(1-VLOOKUP($A174,[1]Hugst!$R$5:$W$9,MATCH(ROUNDUP((P$1)/10,0)*10,[1]Hugst!$R$4:$W$4,0))))</f>
        <v>0</v>
      </c>
      <c r="Q174">
        <f ca="1">IF($C174-Q$1&lt;År1,0,P173*(1-VLOOKUP($A174,[1]Hugst!$R$5:$W$9,MATCH(ROUNDUP((Q$1)/10,0)*10,[1]Hugst!$R$4:$W$4,0))))</f>
        <v>0</v>
      </c>
      <c r="R174">
        <f ca="1">IF($C174-R$1&lt;År1,0,Q173*(1-VLOOKUP($A174,[1]Hugst!$R$5:$W$9,MATCH(ROUNDUP((R$1)/10,0)*10,[1]Hugst!$R$4:$W$4,0))))</f>
        <v>0</v>
      </c>
      <c r="S174">
        <f ca="1">IF($C174-S$1&lt;År1,0,R173*(1-VLOOKUP($A174,[1]Hugst!$R$5:$W$9,MATCH(ROUNDUP((S$1)/10,0)*10,[1]Hugst!$R$4:$W$4,0))))</f>
        <v>0</v>
      </c>
      <c r="T174">
        <f ca="1">IF($C174-T$1&lt;År1,0,S173*(1-VLOOKUP($A174,[1]Hugst!$R$5:$W$9,MATCH(ROUNDUP((T$1)/10,0)*10,[1]Hugst!$R$4:$W$4,0))))</f>
        <v>0</v>
      </c>
      <c r="U174">
        <f ca="1">IF($C174-U$1&lt;År1,0,T173*(1-VLOOKUP($A174,[1]Hugst!$R$5:$W$9,MATCH(ROUNDUP((U$1)/10,0)*10,[1]Hugst!$R$4:$W$4,0))))</f>
        <v>0</v>
      </c>
      <c r="V174">
        <f ca="1">IF($C174-V$1&lt;År1,0,U173*(1-VLOOKUP($A174,[1]Hugst!$R$5:$W$9,MATCH(ROUNDUP((V$1)/10,0)*10,[1]Hugst!$R$4:$W$4,0))))</f>
        <v>0</v>
      </c>
      <c r="W174">
        <f ca="1">IF($C174-W$1&lt;År1,0,V173*(1-VLOOKUP($A174,[1]Hugst!$R$5:$W$9,MATCH(ROUNDUP((W$1)/10,0)*10,[1]Hugst!$R$4:$W$4,0))))</f>
        <v>0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0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>
        <f ca="1">IF($C175-G$1&lt;År1,0,F174*(1-VLOOKUP($A175,[1]Hugst!$R$5:$W$9,MATCH(ROUNDUP((G$1)/10,0)*10,[1]Hugst!$R$4:$W$4,0))))</f>
        <v>0</v>
      </c>
      <c r="H175">
        <f ca="1">IF($C175-H$1&lt;År1,0,G174*(1-VLOOKUP($A175,[1]Hugst!$R$5:$W$9,MATCH(ROUNDUP((H$1)/10,0)*10,[1]Hugst!$R$4:$W$4,0))))</f>
        <v>0</v>
      </c>
      <c r="I175">
        <f ca="1">IF($C175-I$1&lt;År1,0,H174*(1-VLOOKUP($A175,[1]Hugst!$R$5:$W$9,MATCH(ROUNDUP((I$1)/10,0)*10,[1]Hugst!$R$4:$W$4,0))))</f>
        <v>0</v>
      </c>
      <c r="J175">
        <f ca="1">IF($C175-J$1&lt;År1,0,I174*(1-VLOOKUP($A175,[1]Hugst!$R$5:$W$9,MATCH(ROUNDUP((J$1)/10,0)*10,[1]Hugst!$R$4:$W$4,0))))</f>
        <v>0</v>
      </c>
      <c r="K175">
        <f ca="1">IF($C175-K$1&lt;År1,0,J174*(1-VLOOKUP($A175,[1]Hugst!$R$5:$W$9,MATCH(ROUNDUP((K$1)/10,0)*10,[1]Hugst!$R$4:$W$4,0))))</f>
        <v>0</v>
      </c>
      <c r="L175">
        <f ca="1">IF($C175-L$1&lt;År1,0,K174*(1-VLOOKUP($A175,[1]Hugst!$R$5:$W$9,MATCH(ROUNDUP((L$1)/10,0)*10,[1]Hugst!$R$4:$W$4,0))))</f>
        <v>0</v>
      </c>
      <c r="M175">
        <f ca="1">IF($C175-M$1&lt;År1,0,L174*(1-VLOOKUP($A175,[1]Hugst!$R$5:$W$9,MATCH(ROUNDUP((M$1)/10,0)*10,[1]Hugst!$R$4:$W$4,0))))</f>
        <v>0</v>
      </c>
      <c r="N175">
        <f ca="1">IF($C175-N$1&lt;År1,0,M174*(1-VLOOKUP($A175,[1]Hugst!$R$5:$W$9,MATCH(ROUNDUP((N$1)/10,0)*10,[1]Hugst!$R$4:$W$4,0))))</f>
        <v>0</v>
      </c>
      <c r="O175">
        <f ca="1">IF($C175-O$1&lt;År1,0,N174*(1-VLOOKUP($A175,[1]Hugst!$R$5:$W$9,MATCH(ROUNDUP((O$1)/10,0)*10,[1]Hugst!$R$4:$W$4,0))))</f>
        <v>0</v>
      </c>
      <c r="P175">
        <f ca="1">IF($C175-P$1&lt;År1,0,O174*(1-VLOOKUP($A175,[1]Hugst!$R$5:$W$9,MATCH(ROUNDUP((P$1)/10,0)*10,[1]Hugst!$R$4:$W$4,0))))</f>
        <v>0</v>
      </c>
      <c r="Q175">
        <f ca="1">IF($C175-Q$1&lt;År1,0,P174*(1-VLOOKUP($A175,[1]Hugst!$R$5:$W$9,MATCH(ROUNDUP((Q$1)/10,0)*10,[1]Hugst!$R$4:$W$4,0))))</f>
        <v>0</v>
      </c>
      <c r="R175">
        <f ca="1">IF($C175-R$1&lt;År1,0,Q174*(1-VLOOKUP($A175,[1]Hugst!$R$5:$W$9,MATCH(ROUNDUP((R$1)/10,0)*10,[1]Hugst!$R$4:$W$4,0))))</f>
        <v>0</v>
      </c>
      <c r="S175">
        <f ca="1">IF($C175-S$1&lt;År1,0,R174*(1-VLOOKUP($A175,[1]Hugst!$R$5:$W$9,MATCH(ROUNDUP((S$1)/10,0)*10,[1]Hugst!$R$4:$W$4,0))))</f>
        <v>0</v>
      </c>
      <c r="T175">
        <f ca="1">IF($C175-T$1&lt;År1,0,S174*(1-VLOOKUP($A175,[1]Hugst!$R$5:$W$9,MATCH(ROUNDUP((T$1)/10,0)*10,[1]Hugst!$R$4:$W$4,0))))</f>
        <v>0</v>
      </c>
      <c r="U175">
        <f ca="1">IF($C175-U$1&lt;År1,0,T174*(1-VLOOKUP($A175,[1]Hugst!$R$5:$W$9,MATCH(ROUNDUP((U$1)/10,0)*10,[1]Hugst!$R$4:$W$4,0))))</f>
        <v>0</v>
      </c>
      <c r="V175">
        <f ca="1">IF($C175-V$1&lt;År1,0,U174*(1-VLOOKUP($A175,[1]Hugst!$R$5:$W$9,MATCH(ROUNDUP((V$1)/10,0)*10,[1]Hugst!$R$4:$W$4,0))))</f>
        <v>0</v>
      </c>
      <c r="W175">
        <f ca="1">IF($C175-W$1&lt;År1,0,V174*(1-VLOOKUP($A175,[1]Hugst!$R$5:$W$9,MATCH(ROUNDUP((W$1)/10,0)*10,[1]Hugst!$R$4:$W$4,0))))</f>
        <v>0</v>
      </c>
      <c r="X175">
        <f ca="1">IF($C175-X$1&lt;År1,0,W174*(1-VLOOKUP($A175,[1]Hugst!$R$5:$W$9,MATCH(ROUNDUP((X$1)/10,0)*10,[1]Hugst!$R$4:$W$4,0))))</f>
        <v>0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0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>
        <f ca="1">IF($C176-G$1&lt;År1,0,F175*(1-VLOOKUP($A176,[1]Hugst!$R$5:$W$9,MATCH(ROUNDUP((G$1)/10,0)*10,[1]Hugst!$R$4:$W$4,0))))</f>
        <v>0</v>
      </c>
      <c r="H176">
        <f ca="1">IF($C176-H$1&lt;År1,0,G175*(1-VLOOKUP($A176,[1]Hugst!$R$5:$W$9,MATCH(ROUNDUP((H$1)/10,0)*10,[1]Hugst!$R$4:$W$4,0))))</f>
        <v>0</v>
      </c>
      <c r="I176">
        <f ca="1">IF($C176-I$1&lt;År1,0,H175*(1-VLOOKUP($A176,[1]Hugst!$R$5:$W$9,MATCH(ROUNDUP((I$1)/10,0)*10,[1]Hugst!$R$4:$W$4,0))))</f>
        <v>0</v>
      </c>
      <c r="J176">
        <f ca="1">IF($C176-J$1&lt;År1,0,I175*(1-VLOOKUP($A176,[1]Hugst!$R$5:$W$9,MATCH(ROUNDUP((J$1)/10,0)*10,[1]Hugst!$R$4:$W$4,0))))</f>
        <v>0</v>
      </c>
      <c r="K176">
        <f ca="1">IF($C176-K$1&lt;År1,0,J175*(1-VLOOKUP($A176,[1]Hugst!$R$5:$W$9,MATCH(ROUNDUP((K$1)/10,0)*10,[1]Hugst!$R$4:$W$4,0))))</f>
        <v>0</v>
      </c>
      <c r="L176">
        <f ca="1">IF($C176-L$1&lt;År1,0,K175*(1-VLOOKUP($A176,[1]Hugst!$R$5:$W$9,MATCH(ROUNDUP((L$1)/10,0)*10,[1]Hugst!$R$4:$W$4,0))))</f>
        <v>0</v>
      </c>
      <c r="M176">
        <f ca="1">IF($C176-M$1&lt;År1,0,L175*(1-VLOOKUP($A176,[1]Hugst!$R$5:$W$9,MATCH(ROUNDUP((M$1)/10,0)*10,[1]Hugst!$R$4:$W$4,0))))</f>
        <v>0</v>
      </c>
      <c r="N176">
        <f ca="1">IF($C176-N$1&lt;År1,0,M175*(1-VLOOKUP($A176,[1]Hugst!$R$5:$W$9,MATCH(ROUNDUP((N$1)/10,0)*10,[1]Hugst!$R$4:$W$4,0))))</f>
        <v>0</v>
      </c>
      <c r="O176">
        <f ca="1">IF($C176-O$1&lt;År1,0,N175*(1-VLOOKUP($A176,[1]Hugst!$R$5:$W$9,MATCH(ROUNDUP((O$1)/10,0)*10,[1]Hugst!$R$4:$W$4,0))))</f>
        <v>0</v>
      </c>
      <c r="P176">
        <f ca="1">IF($C176-P$1&lt;År1,0,O175*(1-VLOOKUP($A176,[1]Hugst!$R$5:$W$9,MATCH(ROUNDUP((P$1)/10,0)*10,[1]Hugst!$R$4:$W$4,0))))</f>
        <v>0</v>
      </c>
      <c r="Q176">
        <f ca="1">IF($C176-Q$1&lt;År1,0,P175*(1-VLOOKUP($A176,[1]Hugst!$R$5:$W$9,MATCH(ROUNDUP((Q$1)/10,0)*10,[1]Hugst!$R$4:$W$4,0))))</f>
        <v>0</v>
      </c>
      <c r="R176">
        <f ca="1">IF($C176-R$1&lt;År1,0,Q175*(1-VLOOKUP($A176,[1]Hugst!$R$5:$W$9,MATCH(ROUNDUP((R$1)/10,0)*10,[1]Hugst!$R$4:$W$4,0))))</f>
        <v>0</v>
      </c>
      <c r="S176">
        <f ca="1">IF($C176-S$1&lt;År1,0,R175*(1-VLOOKUP($A176,[1]Hugst!$R$5:$W$9,MATCH(ROUNDUP((S$1)/10,0)*10,[1]Hugst!$R$4:$W$4,0))))</f>
        <v>0</v>
      </c>
      <c r="T176">
        <f ca="1">IF($C176-T$1&lt;År1,0,S175*(1-VLOOKUP($A176,[1]Hugst!$R$5:$W$9,MATCH(ROUNDUP((T$1)/10,0)*10,[1]Hugst!$R$4:$W$4,0))))</f>
        <v>0</v>
      </c>
      <c r="U176">
        <f ca="1">IF($C176-U$1&lt;År1,0,T175*(1-VLOOKUP($A176,[1]Hugst!$R$5:$W$9,MATCH(ROUNDUP((U$1)/10,0)*10,[1]Hugst!$R$4:$W$4,0))))</f>
        <v>0</v>
      </c>
      <c r="V176">
        <f ca="1">IF($C176-V$1&lt;År1,0,U175*(1-VLOOKUP($A176,[1]Hugst!$R$5:$W$9,MATCH(ROUNDUP((V$1)/10,0)*10,[1]Hugst!$R$4:$W$4,0))))</f>
        <v>0</v>
      </c>
      <c r="W176">
        <f ca="1">IF($C176-W$1&lt;År1,0,V175*(1-VLOOKUP($A176,[1]Hugst!$R$5:$W$9,MATCH(ROUNDUP((W$1)/10,0)*10,[1]Hugst!$R$4:$W$4,0))))</f>
        <v>0</v>
      </c>
      <c r="X176">
        <f ca="1">IF($C176-X$1&lt;År1,0,W175*(1-VLOOKUP($A176,[1]Hugst!$R$5:$W$9,MATCH(ROUNDUP((X$1)/10,0)*10,[1]Hugst!$R$4:$W$4,0))))</f>
        <v>0</v>
      </c>
      <c r="Y176">
        <f ca="1">IF($C176-Y$1&lt;År1,0,X175*(1-VLOOKUP($A176,[1]Hugst!$R$5:$W$9,MATCH(ROUNDUP((Y$1)/10,0)*10,[1]Hugst!$R$4:$W$4,0))))</f>
        <v>0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0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>
        <f ca="1">IF($C177-G$1&lt;År1,0,F176*(1-VLOOKUP($A177,[1]Hugst!$R$5:$W$9,MATCH(ROUNDUP((G$1)/10,0)*10,[1]Hugst!$R$4:$W$4,0))))</f>
        <v>0</v>
      </c>
      <c r="H177">
        <f ca="1">IF($C177-H$1&lt;År1,0,G176*(1-VLOOKUP($A177,[1]Hugst!$R$5:$W$9,MATCH(ROUNDUP((H$1)/10,0)*10,[1]Hugst!$R$4:$W$4,0))))</f>
        <v>0</v>
      </c>
      <c r="I177">
        <f ca="1">IF($C177-I$1&lt;År1,0,H176*(1-VLOOKUP($A177,[1]Hugst!$R$5:$W$9,MATCH(ROUNDUP((I$1)/10,0)*10,[1]Hugst!$R$4:$W$4,0))))</f>
        <v>0</v>
      </c>
      <c r="J177">
        <f ca="1">IF($C177-J$1&lt;År1,0,I176*(1-VLOOKUP($A177,[1]Hugst!$R$5:$W$9,MATCH(ROUNDUP((J$1)/10,0)*10,[1]Hugst!$R$4:$W$4,0))))</f>
        <v>0</v>
      </c>
      <c r="K177">
        <f ca="1">IF($C177-K$1&lt;År1,0,J176*(1-VLOOKUP($A177,[1]Hugst!$R$5:$W$9,MATCH(ROUNDUP((K$1)/10,0)*10,[1]Hugst!$R$4:$W$4,0))))</f>
        <v>0</v>
      </c>
      <c r="L177">
        <f ca="1">IF($C177-L$1&lt;År1,0,K176*(1-VLOOKUP($A177,[1]Hugst!$R$5:$W$9,MATCH(ROUNDUP((L$1)/10,0)*10,[1]Hugst!$R$4:$W$4,0))))</f>
        <v>0</v>
      </c>
      <c r="M177">
        <f ca="1">IF($C177-M$1&lt;År1,0,L176*(1-VLOOKUP($A177,[1]Hugst!$R$5:$W$9,MATCH(ROUNDUP((M$1)/10,0)*10,[1]Hugst!$R$4:$W$4,0))))</f>
        <v>0</v>
      </c>
      <c r="N177">
        <f ca="1">IF($C177-N$1&lt;År1,0,M176*(1-VLOOKUP($A177,[1]Hugst!$R$5:$W$9,MATCH(ROUNDUP((N$1)/10,0)*10,[1]Hugst!$R$4:$W$4,0))))</f>
        <v>0</v>
      </c>
      <c r="O177">
        <f ca="1">IF($C177-O$1&lt;År1,0,N176*(1-VLOOKUP($A177,[1]Hugst!$R$5:$W$9,MATCH(ROUNDUP((O$1)/10,0)*10,[1]Hugst!$R$4:$W$4,0))))</f>
        <v>0</v>
      </c>
      <c r="P177">
        <f ca="1">IF($C177-P$1&lt;År1,0,O176*(1-VLOOKUP($A177,[1]Hugst!$R$5:$W$9,MATCH(ROUNDUP((P$1)/10,0)*10,[1]Hugst!$R$4:$W$4,0))))</f>
        <v>0</v>
      </c>
      <c r="Q177">
        <f ca="1">IF($C177-Q$1&lt;År1,0,P176*(1-VLOOKUP($A177,[1]Hugst!$R$5:$W$9,MATCH(ROUNDUP((Q$1)/10,0)*10,[1]Hugst!$R$4:$W$4,0))))</f>
        <v>0</v>
      </c>
      <c r="R177">
        <f ca="1">IF($C177-R$1&lt;År1,0,Q176*(1-VLOOKUP($A177,[1]Hugst!$R$5:$W$9,MATCH(ROUNDUP((R$1)/10,0)*10,[1]Hugst!$R$4:$W$4,0))))</f>
        <v>0</v>
      </c>
      <c r="S177">
        <f ca="1">IF($C177-S$1&lt;År1,0,R176*(1-VLOOKUP($A177,[1]Hugst!$R$5:$W$9,MATCH(ROUNDUP((S$1)/10,0)*10,[1]Hugst!$R$4:$W$4,0))))</f>
        <v>0</v>
      </c>
      <c r="T177">
        <f ca="1">IF($C177-T$1&lt;År1,0,S176*(1-VLOOKUP($A177,[1]Hugst!$R$5:$W$9,MATCH(ROUNDUP((T$1)/10,0)*10,[1]Hugst!$R$4:$W$4,0))))</f>
        <v>0</v>
      </c>
      <c r="U177">
        <f ca="1">IF($C177-U$1&lt;År1,0,T176*(1-VLOOKUP($A177,[1]Hugst!$R$5:$W$9,MATCH(ROUNDUP((U$1)/10,0)*10,[1]Hugst!$R$4:$W$4,0))))</f>
        <v>0</v>
      </c>
      <c r="V177">
        <f ca="1">IF($C177-V$1&lt;År1,0,U176*(1-VLOOKUP($A177,[1]Hugst!$R$5:$W$9,MATCH(ROUNDUP((V$1)/10,0)*10,[1]Hugst!$R$4:$W$4,0))))</f>
        <v>0</v>
      </c>
      <c r="W177">
        <f ca="1">IF($C177-W$1&lt;År1,0,V176*(1-VLOOKUP($A177,[1]Hugst!$R$5:$W$9,MATCH(ROUNDUP((W$1)/10,0)*10,[1]Hugst!$R$4:$W$4,0))))</f>
        <v>0</v>
      </c>
      <c r="X177">
        <f ca="1">IF($C177-X$1&lt;År1,0,W176*(1-VLOOKUP($A177,[1]Hugst!$R$5:$W$9,MATCH(ROUNDUP((X$1)/10,0)*10,[1]Hugst!$R$4:$W$4,0))))</f>
        <v>0</v>
      </c>
      <c r="Y177">
        <f ca="1">IF($C177-Y$1&lt;År1,0,X176*(1-VLOOKUP($A177,[1]Hugst!$R$5:$W$9,MATCH(ROUNDUP((Y$1)/10,0)*10,[1]Hugst!$R$4:$W$4,0))))</f>
        <v>0</v>
      </c>
      <c r="Z177">
        <f ca="1">IF($C177-Z$1&lt;År1,0,Y176*(1-VLOOKUP($A177,[1]Hugst!$R$5:$W$9,MATCH(ROUNDUP((Z$1)/10,0)*10,[1]Hugst!$R$4:$W$4,0))))</f>
        <v>0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0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>
        <f ca="1">IF($C178-G$1&lt;År1,0,F177*(1-VLOOKUP($A178,[1]Hugst!$R$5:$W$9,MATCH(ROUNDUP((G$1)/10,0)*10,[1]Hugst!$R$4:$W$4,0))))</f>
        <v>0</v>
      </c>
      <c r="H178">
        <f ca="1">IF($C178-H$1&lt;År1,0,G177*(1-VLOOKUP($A178,[1]Hugst!$R$5:$W$9,MATCH(ROUNDUP((H$1)/10,0)*10,[1]Hugst!$R$4:$W$4,0))))</f>
        <v>0</v>
      </c>
      <c r="I178">
        <f ca="1">IF($C178-I$1&lt;År1,0,H177*(1-VLOOKUP($A178,[1]Hugst!$R$5:$W$9,MATCH(ROUNDUP((I$1)/10,0)*10,[1]Hugst!$R$4:$W$4,0))))</f>
        <v>0</v>
      </c>
      <c r="J178">
        <f ca="1">IF($C178-J$1&lt;År1,0,I177*(1-VLOOKUP($A178,[1]Hugst!$R$5:$W$9,MATCH(ROUNDUP((J$1)/10,0)*10,[1]Hugst!$R$4:$W$4,0))))</f>
        <v>0</v>
      </c>
      <c r="K178">
        <f ca="1">IF($C178-K$1&lt;År1,0,J177*(1-VLOOKUP($A178,[1]Hugst!$R$5:$W$9,MATCH(ROUNDUP((K$1)/10,0)*10,[1]Hugst!$R$4:$W$4,0))))</f>
        <v>0</v>
      </c>
      <c r="L178">
        <f ca="1">IF($C178-L$1&lt;År1,0,K177*(1-VLOOKUP($A178,[1]Hugst!$R$5:$W$9,MATCH(ROUNDUP((L$1)/10,0)*10,[1]Hugst!$R$4:$W$4,0))))</f>
        <v>0</v>
      </c>
      <c r="M178">
        <f ca="1">IF($C178-M$1&lt;År1,0,L177*(1-VLOOKUP($A178,[1]Hugst!$R$5:$W$9,MATCH(ROUNDUP((M$1)/10,0)*10,[1]Hugst!$R$4:$W$4,0))))</f>
        <v>0</v>
      </c>
      <c r="N178">
        <f ca="1">IF($C178-N$1&lt;År1,0,M177*(1-VLOOKUP($A178,[1]Hugst!$R$5:$W$9,MATCH(ROUNDUP((N$1)/10,0)*10,[1]Hugst!$R$4:$W$4,0))))</f>
        <v>0</v>
      </c>
      <c r="O178">
        <f ca="1">IF($C178-O$1&lt;År1,0,N177*(1-VLOOKUP($A178,[1]Hugst!$R$5:$W$9,MATCH(ROUNDUP((O$1)/10,0)*10,[1]Hugst!$R$4:$W$4,0))))</f>
        <v>0</v>
      </c>
      <c r="P178">
        <f ca="1">IF($C178-P$1&lt;År1,0,O177*(1-VLOOKUP($A178,[1]Hugst!$R$5:$W$9,MATCH(ROUNDUP((P$1)/10,0)*10,[1]Hugst!$R$4:$W$4,0))))</f>
        <v>0</v>
      </c>
      <c r="Q178">
        <f ca="1">IF($C178-Q$1&lt;År1,0,P177*(1-VLOOKUP($A178,[1]Hugst!$R$5:$W$9,MATCH(ROUNDUP((Q$1)/10,0)*10,[1]Hugst!$R$4:$W$4,0))))</f>
        <v>0</v>
      </c>
      <c r="R178">
        <f ca="1">IF($C178-R$1&lt;År1,0,Q177*(1-VLOOKUP($A178,[1]Hugst!$R$5:$W$9,MATCH(ROUNDUP((R$1)/10,0)*10,[1]Hugst!$R$4:$W$4,0))))</f>
        <v>0</v>
      </c>
      <c r="S178">
        <f ca="1">IF($C178-S$1&lt;År1,0,R177*(1-VLOOKUP($A178,[1]Hugst!$R$5:$W$9,MATCH(ROUNDUP((S$1)/10,0)*10,[1]Hugst!$R$4:$W$4,0))))</f>
        <v>0</v>
      </c>
      <c r="T178">
        <f ca="1">IF($C178-T$1&lt;År1,0,S177*(1-VLOOKUP($A178,[1]Hugst!$R$5:$W$9,MATCH(ROUNDUP((T$1)/10,0)*10,[1]Hugst!$R$4:$W$4,0))))</f>
        <v>0</v>
      </c>
      <c r="U178">
        <f ca="1">IF($C178-U$1&lt;År1,0,T177*(1-VLOOKUP($A178,[1]Hugst!$R$5:$W$9,MATCH(ROUNDUP((U$1)/10,0)*10,[1]Hugst!$R$4:$W$4,0))))</f>
        <v>0</v>
      </c>
      <c r="V178">
        <f ca="1">IF($C178-V$1&lt;År1,0,U177*(1-VLOOKUP($A178,[1]Hugst!$R$5:$W$9,MATCH(ROUNDUP((V$1)/10,0)*10,[1]Hugst!$R$4:$W$4,0))))</f>
        <v>0</v>
      </c>
      <c r="W178">
        <f ca="1">IF($C178-W$1&lt;År1,0,V177*(1-VLOOKUP($A178,[1]Hugst!$R$5:$W$9,MATCH(ROUNDUP((W$1)/10,0)*10,[1]Hugst!$R$4:$W$4,0))))</f>
        <v>0</v>
      </c>
      <c r="X178">
        <f ca="1">IF($C178-X$1&lt;År1,0,W177*(1-VLOOKUP($A178,[1]Hugst!$R$5:$W$9,MATCH(ROUNDUP((X$1)/10,0)*10,[1]Hugst!$R$4:$W$4,0))))</f>
        <v>0</v>
      </c>
      <c r="Y178">
        <f ca="1">IF($C178-Y$1&lt;År1,0,X177*(1-VLOOKUP($A178,[1]Hugst!$R$5:$W$9,MATCH(ROUNDUP((Y$1)/10,0)*10,[1]Hugst!$R$4:$W$4,0))))</f>
        <v>0</v>
      </c>
      <c r="Z178">
        <f ca="1">IF($C178-Z$1&lt;År1,0,Y177*(1-VLOOKUP($A178,[1]Hugst!$R$5:$W$9,MATCH(ROUNDUP((Z$1)/10,0)*10,[1]Hugst!$R$4:$W$4,0))))</f>
        <v>0</v>
      </c>
      <c r="AA178">
        <f ca="1">IF($C178-AA$1&lt;År1,0,Z177*(1-VLOOKUP($A178,[1]Hugst!$R$5:$W$9,MATCH(ROUNDUP((AA$1)/10,0)*10,[1]Hugst!$R$4:$W$4,0))))</f>
        <v>0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0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>
        <f ca="1">IF($C179-G$1&lt;År1,0,F178*(1-VLOOKUP($A179,[1]Hugst!$R$5:$W$9,MATCH(ROUNDUP((G$1)/10,0)*10,[1]Hugst!$R$4:$W$4,0))))</f>
        <v>0</v>
      </c>
      <c r="H179">
        <f ca="1">IF($C179-H$1&lt;År1,0,G178*(1-VLOOKUP($A179,[1]Hugst!$R$5:$W$9,MATCH(ROUNDUP((H$1)/10,0)*10,[1]Hugst!$R$4:$W$4,0))))</f>
        <v>0</v>
      </c>
      <c r="I179">
        <f ca="1">IF($C179-I$1&lt;År1,0,H178*(1-VLOOKUP($A179,[1]Hugst!$R$5:$W$9,MATCH(ROUNDUP((I$1)/10,0)*10,[1]Hugst!$R$4:$W$4,0))))</f>
        <v>0</v>
      </c>
      <c r="J179">
        <f ca="1">IF($C179-J$1&lt;År1,0,I178*(1-VLOOKUP($A179,[1]Hugst!$R$5:$W$9,MATCH(ROUNDUP((J$1)/10,0)*10,[1]Hugst!$R$4:$W$4,0))))</f>
        <v>0</v>
      </c>
      <c r="K179">
        <f ca="1">IF($C179-K$1&lt;År1,0,J178*(1-VLOOKUP($A179,[1]Hugst!$R$5:$W$9,MATCH(ROUNDUP((K$1)/10,0)*10,[1]Hugst!$R$4:$W$4,0))))</f>
        <v>0</v>
      </c>
      <c r="L179">
        <f ca="1">IF($C179-L$1&lt;År1,0,K178*(1-VLOOKUP($A179,[1]Hugst!$R$5:$W$9,MATCH(ROUNDUP((L$1)/10,0)*10,[1]Hugst!$R$4:$W$4,0))))</f>
        <v>0</v>
      </c>
      <c r="M179">
        <f ca="1">IF($C179-M$1&lt;År1,0,L178*(1-VLOOKUP($A179,[1]Hugst!$R$5:$W$9,MATCH(ROUNDUP((M$1)/10,0)*10,[1]Hugst!$R$4:$W$4,0))))</f>
        <v>0</v>
      </c>
      <c r="N179">
        <f ca="1">IF($C179-N$1&lt;År1,0,M178*(1-VLOOKUP($A179,[1]Hugst!$R$5:$W$9,MATCH(ROUNDUP((N$1)/10,0)*10,[1]Hugst!$R$4:$W$4,0))))</f>
        <v>0</v>
      </c>
      <c r="O179">
        <f ca="1">IF($C179-O$1&lt;År1,0,N178*(1-VLOOKUP($A179,[1]Hugst!$R$5:$W$9,MATCH(ROUNDUP((O$1)/10,0)*10,[1]Hugst!$R$4:$W$4,0))))</f>
        <v>0</v>
      </c>
      <c r="P179">
        <f ca="1">IF($C179-P$1&lt;År1,0,O178*(1-VLOOKUP($A179,[1]Hugst!$R$5:$W$9,MATCH(ROUNDUP((P$1)/10,0)*10,[1]Hugst!$R$4:$W$4,0))))</f>
        <v>0</v>
      </c>
      <c r="Q179">
        <f ca="1">IF($C179-Q$1&lt;År1,0,P178*(1-VLOOKUP($A179,[1]Hugst!$R$5:$W$9,MATCH(ROUNDUP((Q$1)/10,0)*10,[1]Hugst!$R$4:$W$4,0))))</f>
        <v>0</v>
      </c>
      <c r="R179">
        <f ca="1">IF($C179-R$1&lt;År1,0,Q178*(1-VLOOKUP($A179,[1]Hugst!$R$5:$W$9,MATCH(ROUNDUP((R$1)/10,0)*10,[1]Hugst!$R$4:$W$4,0))))</f>
        <v>0</v>
      </c>
      <c r="S179">
        <f ca="1">IF($C179-S$1&lt;År1,0,R178*(1-VLOOKUP($A179,[1]Hugst!$R$5:$W$9,MATCH(ROUNDUP((S$1)/10,0)*10,[1]Hugst!$R$4:$W$4,0))))</f>
        <v>0</v>
      </c>
      <c r="T179">
        <f ca="1">IF($C179-T$1&lt;År1,0,S178*(1-VLOOKUP($A179,[1]Hugst!$R$5:$W$9,MATCH(ROUNDUP((T$1)/10,0)*10,[1]Hugst!$R$4:$W$4,0))))</f>
        <v>0</v>
      </c>
      <c r="U179">
        <f ca="1">IF($C179-U$1&lt;År1,0,T178*(1-VLOOKUP($A179,[1]Hugst!$R$5:$W$9,MATCH(ROUNDUP((U$1)/10,0)*10,[1]Hugst!$R$4:$W$4,0))))</f>
        <v>0</v>
      </c>
      <c r="V179">
        <f ca="1">IF($C179-V$1&lt;År1,0,U178*(1-VLOOKUP($A179,[1]Hugst!$R$5:$W$9,MATCH(ROUNDUP((V$1)/10,0)*10,[1]Hugst!$R$4:$W$4,0))))</f>
        <v>0</v>
      </c>
      <c r="W179">
        <f ca="1">IF($C179-W$1&lt;År1,0,V178*(1-VLOOKUP($A179,[1]Hugst!$R$5:$W$9,MATCH(ROUNDUP((W$1)/10,0)*10,[1]Hugst!$R$4:$W$4,0))))</f>
        <v>0</v>
      </c>
      <c r="X179">
        <f ca="1">IF($C179-X$1&lt;År1,0,W178*(1-VLOOKUP($A179,[1]Hugst!$R$5:$W$9,MATCH(ROUNDUP((X$1)/10,0)*10,[1]Hugst!$R$4:$W$4,0))))</f>
        <v>0</v>
      </c>
      <c r="Y179">
        <f ca="1">IF($C179-Y$1&lt;År1,0,X178*(1-VLOOKUP($A179,[1]Hugst!$R$5:$W$9,MATCH(ROUNDUP((Y$1)/10,0)*10,[1]Hugst!$R$4:$W$4,0))))</f>
        <v>0</v>
      </c>
      <c r="Z179">
        <f ca="1">IF($C179-Z$1&lt;År1,0,Y178*(1-VLOOKUP($A179,[1]Hugst!$R$5:$W$9,MATCH(ROUNDUP((Z$1)/10,0)*10,[1]Hugst!$R$4:$W$4,0))))</f>
        <v>0</v>
      </c>
      <c r="AA179">
        <f ca="1">IF($C179-AA$1&lt;År1,0,Z178*(1-VLOOKUP($A179,[1]Hugst!$R$5:$W$9,MATCH(ROUNDUP((AA$1)/10,0)*10,[1]Hugst!$R$4:$W$4,0))))</f>
        <v>0</v>
      </c>
      <c r="AB179">
        <f ca="1">IF($C179-AB$1&lt;År1,0,AA178*(1-VLOOKUP($A179,[1]Hugst!$R$5:$W$9,MATCH(ROUNDUP((AB$1)/10,0)*10,[1]Hugst!$R$4:$W$4,0))))</f>
        <v>0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0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>
        <f ca="1">IF($C180-G$1&lt;År1,0,F179*(1-VLOOKUP($A180,[1]Hugst!$R$5:$W$9,MATCH(ROUNDUP((G$1)/10,0)*10,[1]Hugst!$R$4:$W$4,0))))</f>
        <v>0</v>
      </c>
      <c r="H180">
        <f ca="1">IF($C180-H$1&lt;År1,0,G179*(1-VLOOKUP($A180,[1]Hugst!$R$5:$W$9,MATCH(ROUNDUP((H$1)/10,0)*10,[1]Hugst!$R$4:$W$4,0))))</f>
        <v>0</v>
      </c>
      <c r="I180">
        <f ca="1">IF($C180-I$1&lt;År1,0,H179*(1-VLOOKUP($A180,[1]Hugst!$R$5:$W$9,MATCH(ROUNDUP((I$1)/10,0)*10,[1]Hugst!$R$4:$W$4,0))))</f>
        <v>0</v>
      </c>
      <c r="J180">
        <f ca="1">IF($C180-J$1&lt;År1,0,I179*(1-VLOOKUP($A180,[1]Hugst!$R$5:$W$9,MATCH(ROUNDUP((J$1)/10,0)*10,[1]Hugst!$R$4:$W$4,0))))</f>
        <v>0</v>
      </c>
      <c r="K180">
        <f ca="1">IF($C180-K$1&lt;År1,0,J179*(1-VLOOKUP($A180,[1]Hugst!$R$5:$W$9,MATCH(ROUNDUP((K$1)/10,0)*10,[1]Hugst!$R$4:$W$4,0))))</f>
        <v>0</v>
      </c>
      <c r="L180">
        <f ca="1">IF($C180-L$1&lt;År1,0,K179*(1-VLOOKUP($A180,[1]Hugst!$R$5:$W$9,MATCH(ROUNDUP((L$1)/10,0)*10,[1]Hugst!$R$4:$W$4,0))))</f>
        <v>0</v>
      </c>
      <c r="M180">
        <f ca="1">IF($C180-M$1&lt;År1,0,L179*(1-VLOOKUP($A180,[1]Hugst!$R$5:$W$9,MATCH(ROUNDUP((M$1)/10,0)*10,[1]Hugst!$R$4:$W$4,0))))</f>
        <v>0</v>
      </c>
      <c r="N180">
        <f ca="1">IF($C180-N$1&lt;År1,0,M179*(1-VLOOKUP($A180,[1]Hugst!$R$5:$W$9,MATCH(ROUNDUP((N$1)/10,0)*10,[1]Hugst!$R$4:$W$4,0))))</f>
        <v>0</v>
      </c>
      <c r="O180">
        <f ca="1">IF($C180-O$1&lt;År1,0,N179*(1-VLOOKUP($A180,[1]Hugst!$R$5:$W$9,MATCH(ROUNDUP((O$1)/10,0)*10,[1]Hugst!$R$4:$W$4,0))))</f>
        <v>0</v>
      </c>
      <c r="P180">
        <f ca="1">IF($C180-P$1&lt;År1,0,O179*(1-VLOOKUP($A180,[1]Hugst!$R$5:$W$9,MATCH(ROUNDUP((P$1)/10,0)*10,[1]Hugst!$R$4:$W$4,0))))</f>
        <v>0</v>
      </c>
      <c r="Q180">
        <f ca="1">IF($C180-Q$1&lt;År1,0,P179*(1-VLOOKUP($A180,[1]Hugst!$R$5:$W$9,MATCH(ROUNDUP((Q$1)/10,0)*10,[1]Hugst!$R$4:$W$4,0))))</f>
        <v>0</v>
      </c>
      <c r="R180">
        <f ca="1">IF($C180-R$1&lt;År1,0,Q179*(1-VLOOKUP($A180,[1]Hugst!$R$5:$W$9,MATCH(ROUNDUP((R$1)/10,0)*10,[1]Hugst!$R$4:$W$4,0))))</f>
        <v>0</v>
      </c>
      <c r="S180">
        <f ca="1">IF($C180-S$1&lt;År1,0,R179*(1-VLOOKUP($A180,[1]Hugst!$R$5:$W$9,MATCH(ROUNDUP((S$1)/10,0)*10,[1]Hugst!$R$4:$W$4,0))))</f>
        <v>0</v>
      </c>
      <c r="T180">
        <f ca="1">IF($C180-T$1&lt;År1,0,S179*(1-VLOOKUP($A180,[1]Hugst!$R$5:$W$9,MATCH(ROUNDUP((T$1)/10,0)*10,[1]Hugst!$R$4:$W$4,0))))</f>
        <v>0</v>
      </c>
      <c r="U180">
        <f ca="1">IF($C180-U$1&lt;År1,0,T179*(1-VLOOKUP($A180,[1]Hugst!$R$5:$W$9,MATCH(ROUNDUP((U$1)/10,0)*10,[1]Hugst!$R$4:$W$4,0))))</f>
        <v>0</v>
      </c>
      <c r="V180">
        <f ca="1">IF($C180-V$1&lt;År1,0,U179*(1-VLOOKUP($A180,[1]Hugst!$R$5:$W$9,MATCH(ROUNDUP((V$1)/10,0)*10,[1]Hugst!$R$4:$W$4,0))))</f>
        <v>0</v>
      </c>
      <c r="W180">
        <f ca="1">IF($C180-W$1&lt;År1,0,V179*(1-VLOOKUP($A180,[1]Hugst!$R$5:$W$9,MATCH(ROUNDUP((W$1)/10,0)*10,[1]Hugst!$R$4:$W$4,0))))</f>
        <v>0</v>
      </c>
      <c r="X180">
        <f ca="1">IF($C180-X$1&lt;År1,0,W179*(1-VLOOKUP($A180,[1]Hugst!$R$5:$W$9,MATCH(ROUNDUP((X$1)/10,0)*10,[1]Hugst!$R$4:$W$4,0))))</f>
        <v>0</v>
      </c>
      <c r="Y180">
        <f ca="1">IF($C180-Y$1&lt;År1,0,X179*(1-VLOOKUP($A180,[1]Hugst!$R$5:$W$9,MATCH(ROUNDUP((Y$1)/10,0)*10,[1]Hugst!$R$4:$W$4,0))))</f>
        <v>0</v>
      </c>
      <c r="Z180">
        <f ca="1">IF($C180-Z$1&lt;År1,0,Y179*(1-VLOOKUP($A180,[1]Hugst!$R$5:$W$9,MATCH(ROUNDUP((Z$1)/10,0)*10,[1]Hugst!$R$4:$W$4,0))))</f>
        <v>0</v>
      </c>
      <c r="AA180">
        <f ca="1">IF($C180-AA$1&lt;År1,0,Z179*(1-VLOOKUP($A180,[1]Hugst!$R$5:$W$9,MATCH(ROUNDUP((AA$1)/10,0)*10,[1]Hugst!$R$4:$W$4,0))))</f>
        <v>0</v>
      </c>
      <c r="AB180">
        <f ca="1">IF($C180-AB$1&lt;År1,0,AA179*(1-VLOOKUP($A180,[1]Hugst!$R$5:$W$9,MATCH(ROUNDUP((AB$1)/10,0)*10,[1]Hugst!$R$4:$W$4,0))))</f>
        <v>0</v>
      </c>
      <c r="AC180">
        <f ca="1">IF($C180-AC$1&lt;År1,0,AB179*(1-VLOOKUP($A180,[1]Hugst!$R$5:$W$9,MATCH(ROUNDUP((AC$1)/10,0)*10,[1]Hugst!$R$4:$W$4,0))))</f>
        <v>0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0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>
        <f ca="1">IF($C181-G$1&lt;År1,0,F180*(1-VLOOKUP($A181,[1]Hugst!$R$5:$W$9,MATCH(ROUNDUP((G$1)/10,0)*10,[1]Hugst!$R$4:$W$4,0))))</f>
        <v>0</v>
      </c>
      <c r="H181">
        <f ca="1">IF($C181-H$1&lt;År1,0,G180*(1-VLOOKUP($A181,[1]Hugst!$R$5:$W$9,MATCH(ROUNDUP((H$1)/10,0)*10,[1]Hugst!$R$4:$W$4,0))))</f>
        <v>0</v>
      </c>
      <c r="I181">
        <f ca="1">IF($C181-I$1&lt;År1,0,H180*(1-VLOOKUP($A181,[1]Hugst!$R$5:$W$9,MATCH(ROUNDUP((I$1)/10,0)*10,[1]Hugst!$R$4:$W$4,0))))</f>
        <v>0</v>
      </c>
      <c r="J181">
        <f ca="1">IF($C181-J$1&lt;År1,0,I180*(1-VLOOKUP($A181,[1]Hugst!$R$5:$W$9,MATCH(ROUNDUP((J$1)/10,0)*10,[1]Hugst!$R$4:$W$4,0))))</f>
        <v>0</v>
      </c>
      <c r="K181">
        <f ca="1">IF($C181-K$1&lt;År1,0,J180*(1-VLOOKUP($A181,[1]Hugst!$R$5:$W$9,MATCH(ROUNDUP((K$1)/10,0)*10,[1]Hugst!$R$4:$W$4,0))))</f>
        <v>0</v>
      </c>
      <c r="L181">
        <f ca="1">IF($C181-L$1&lt;År1,0,K180*(1-VLOOKUP($A181,[1]Hugst!$R$5:$W$9,MATCH(ROUNDUP((L$1)/10,0)*10,[1]Hugst!$R$4:$W$4,0))))</f>
        <v>0</v>
      </c>
      <c r="M181">
        <f ca="1">IF($C181-M$1&lt;År1,0,L180*(1-VLOOKUP($A181,[1]Hugst!$R$5:$W$9,MATCH(ROUNDUP((M$1)/10,0)*10,[1]Hugst!$R$4:$W$4,0))))</f>
        <v>0</v>
      </c>
      <c r="N181">
        <f ca="1">IF($C181-N$1&lt;År1,0,M180*(1-VLOOKUP($A181,[1]Hugst!$R$5:$W$9,MATCH(ROUNDUP((N$1)/10,0)*10,[1]Hugst!$R$4:$W$4,0))))</f>
        <v>0</v>
      </c>
      <c r="O181">
        <f ca="1">IF($C181-O$1&lt;År1,0,N180*(1-VLOOKUP($A181,[1]Hugst!$R$5:$W$9,MATCH(ROUNDUP((O$1)/10,0)*10,[1]Hugst!$R$4:$W$4,0))))</f>
        <v>0</v>
      </c>
      <c r="P181">
        <f ca="1">IF($C181-P$1&lt;År1,0,O180*(1-VLOOKUP($A181,[1]Hugst!$R$5:$W$9,MATCH(ROUNDUP((P$1)/10,0)*10,[1]Hugst!$R$4:$W$4,0))))</f>
        <v>0</v>
      </c>
      <c r="Q181">
        <f ca="1">IF($C181-Q$1&lt;År1,0,P180*(1-VLOOKUP($A181,[1]Hugst!$R$5:$W$9,MATCH(ROUNDUP((Q$1)/10,0)*10,[1]Hugst!$R$4:$W$4,0))))</f>
        <v>0</v>
      </c>
      <c r="R181">
        <f ca="1">IF($C181-R$1&lt;År1,0,Q180*(1-VLOOKUP($A181,[1]Hugst!$R$5:$W$9,MATCH(ROUNDUP((R$1)/10,0)*10,[1]Hugst!$R$4:$W$4,0))))</f>
        <v>0</v>
      </c>
      <c r="S181">
        <f ca="1">IF($C181-S$1&lt;År1,0,R180*(1-VLOOKUP($A181,[1]Hugst!$R$5:$W$9,MATCH(ROUNDUP((S$1)/10,0)*10,[1]Hugst!$R$4:$W$4,0))))</f>
        <v>0</v>
      </c>
      <c r="T181">
        <f ca="1">IF($C181-T$1&lt;År1,0,S180*(1-VLOOKUP($A181,[1]Hugst!$R$5:$W$9,MATCH(ROUNDUP((T$1)/10,0)*10,[1]Hugst!$R$4:$W$4,0))))</f>
        <v>0</v>
      </c>
      <c r="U181">
        <f ca="1">IF($C181-U$1&lt;År1,0,T180*(1-VLOOKUP($A181,[1]Hugst!$R$5:$W$9,MATCH(ROUNDUP((U$1)/10,0)*10,[1]Hugst!$R$4:$W$4,0))))</f>
        <v>0</v>
      </c>
      <c r="V181">
        <f ca="1">IF($C181-V$1&lt;År1,0,U180*(1-VLOOKUP($A181,[1]Hugst!$R$5:$W$9,MATCH(ROUNDUP((V$1)/10,0)*10,[1]Hugst!$R$4:$W$4,0))))</f>
        <v>0</v>
      </c>
      <c r="W181">
        <f ca="1">IF($C181-W$1&lt;År1,0,V180*(1-VLOOKUP($A181,[1]Hugst!$R$5:$W$9,MATCH(ROUNDUP((W$1)/10,0)*10,[1]Hugst!$R$4:$W$4,0))))</f>
        <v>0</v>
      </c>
      <c r="X181">
        <f ca="1">IF($C181-X$1&lt;År1,0,W180*(1-VLOOKUP($A181,[1]Hugst!$R$5:$W$9,MATCH(ROUNDUP((X$1)/10,0)*10,[1]Hugst!$R$4:$W$4,0))))</f>
        <v>0</v>
      </c>
      <c r="Y181">
        <f ca="1">IF($C181-Y$1&lt;År1,0,X180*(1-VLOOKUP($A181,[1]Hugst!$R$5:$W$9,MATCH(ROUNDUP((Y$1)/10,0)*10,[1]Hugst!$R$4:$W$4,0))))</f>
        <v>0</v>
      </c>
      <c r="Z181">
        <f ca="1">IF($C181-Z$1&lt;År1,0,Y180*(1-VLOOKUP($A181,[1]Hugst!$R$5:$W$9,MATCH(ROUNDUP((Z$1)/10,0)*10,[1]Hugst!$R$4:$W$4,0))))</f>
        <v>0</v>
      </c>
      <c r="AA181">
        <f ca="1">IF($C181-AA$1&lt;År1,0,Z180*(1-VLOOKUP($A181,[1]Hugst!$R$5:$W$9,MATCH(ROUNDUP((AA$1)/10,0)*10,[1]Hugst!$R$4:$W$4,0))))</f>
        <v>0</v>
      </c>
      <c r="AB181">
        <f ca="1">IF($C181-AB$1&lt;År1,0,AA180*(1-VLOOKUP($A181,[1]Hugst!$R$5:$W$9,MATCH(ROUNDUP((AB$1)/10,0)*10,[1]Hugst!$R$4:$W$4,0))))</f>
        <v>0</v>
      </c>
      <c r="AC181">
        <f ca="1">IF($C181-AC$1&lt;År1,0,AB180*(1-VLOOKUP($A181,[1]Hugst!$R$5:$W$9,MATCH(ROUNDUP((AC$1)/10,0)*10,[1]Hugst!$R$4:$W$4,0))))</f>
        <v>0</v>
      </c>
      <c r="AD181">
        <f ca="1">IF($C181-AD$1&lt;År1,0,AC180*(1-VLOOKUP($A181,[1]Hugst!$R$5:$W$9,MATCH(ROUNDUP((AD$1)/10,0)*10,[1]Hugst!$R$4:$W$4,0))))</f>
        <v>0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0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>
        <f ca="1">IF($C182-G$1&lt;År1,0,F181*(1-VLOOKUP($A182,[1]Hugst!$R$5:$W$9,MATCH(ROUNDUP((G$1)/10,0)*10,[1]Hugst!$R$4:$W$4,0))))</f>
        <v>0</v>
      </c>
      <c r="H182">
        <f ca="1">IF($C182-H$1&lt;År1,0,G181*(1-VLOOKUP($A182,[1]Hugst!$R$5:$W$9,MATCH(ROUNDUP((H$1)/10,0)*10,[1]Hugst!$R$4:$W$4,0))))</f>
        <v>0</v>
      </c>
      <c r="I182">
        <f ca="1">IF($C182-I$1&lt;År1,0,H181*(1-VLOOKUP($A182,[1]Hugst!$R$5:$W$9,MATCH(ROUNDUP((I$1)/10,0)*10,[1]Hugst!$R$4:$W$4,0))))</f>
        <v>0</v>
      </c>
      <c r="J182">
        <f ca="1">IF($C182-J$1&lt;År1,0,I181*(1-VLOOKUP($A182,[1]Hugst!$R$5:$W$9,MATCH(ROUNDUP((J$1)/10,0)*10,[1]Hugst!$R$4:$W$4,0))))</f>
        <v>0</v>
      </c>
      <c r="K182">
        <f ca="1">IF($C182-K$1&lt;År1,0,J181*(1-VLOOKUP($A182,[1]Hugst!$R$5:$W$9,MATCH(ROUNDUP((K$1)/10,0)*10,[1]Hugst!$R$4:$W$4,0))))</f>
        <v>0</v>
      </c>
      <c r="L182">
        <f ca="1">IF($C182-L$1&lt;År1,0,K181*(1-VLOOKUP($A182,[1]Hugst!$R$5:$W$9,MATCH(ROUNDUP((L$1)/10,0)*10,[1]Hugst!$R$4:$W$4,0))))</f>
        <v>0</v>
      </c>
      <c r="M182">
        <f ca="1">IF($C182-M$1&lt;År1,0,L181*(1-VLOOKUP($A182,[1]Hugst!$R$5:$W$9,MATCH(ROUNDUP((M$1)/10,0)*10,[1]Hugst!$R$4:$W$4,0))))</f>
        <v>0</v>
      </c>
      <c r="N182">
        <f ca="1">IF($C182-N$1&lt;År1,0,M181*(1-VLOOKUP($A182,[1]Hugst!$R$5:$W$9,MATCH(ROUNDUP((N$1)/10,0)*10,[1]Hugst!$R$4:$W$4,0))))</f>
        <v>0</v>
      </c>
      <c r="O182">
        <f ca="1">IF($C182-O$1&lt;År1,0,N181*(1-VLOOKUP($A182,[1]Hugst!$R$5:$W$9,MATCH(ROUNDUP((O$1)/10,0)*10,[1]Hugst!$R$4:$W$4,0))))</f>
        <v>0</v>
      </c>
      <c r="P182">
        <f ca="1">IF($C182-P$1&lt;År1,0,O181*(1-VLOOKUP($A182,[1]Hugst!$R$5:$W$9,MATCH(ROUNDUP((P$1)/10,0)*10,[1]Hugst!$R$4:$W$4,0))))</f>
        <v>0</v>
      </c>
      <c r="Q182">
        <f ca="1">IF($C182-Q$1&lt;År1,0,P181*(1-VLOOKUP($A182,[1]Hugst!$R$5:$W$9,MATCH(ROUNDUP((Q$1)/10,0)*10,[1]Hugst!$R$4:$W$4,0))))</f>
        <v>0</v>
      </c>
      <c r="R182">
        <f ca="1">IF($C182-R$1&lt;År1,0,Q181*(1-VLOOKUP($A182,[1]Hugst!$R$5:$W$9,MATCH(ROUNDUP((R$1)/10,0)*10,[1]Hugst!$R$4:$W$4,0))))</f>
        <v>0</v>
      </c>
      <c r="S182">
        <f ca="1">IF($C182-S$1&lt;År1,0,R181*(1-VLOOKUP($A182,[1]Hugst!$R$5:$W$9,MATCH(ROUNDUP((S$1)/10,0)*10,[1]Hugst!$R$4:$W$4,0))))</f>
        <v>0</v>
      </c>
      <c r="T182">
        <f ca="1">IF($C182-T$1&lt;År1,0,S181*(1-VLOOKUP($A182,[1]Hugst!$R$5:$W$9,MATCH(ROUNDUP((T$1)/10,0)*10,[1]Hugst!$R$4:$W$4,0))))</f>
        <v>0</v>
      </c>
      <c r="U182">
        <f ca="1">IF($C182-U$1&lt;År1,0,T181*(1-VLOOKUP($A182,[1]Hugst!$R$5:$W$9,MATCH(ROUNDUP((U$1)/10,0)*10,[1]Hugst!$R$4:$W$4,0))))</f>
        <v>0</v>
      </c>
      <c r="V182">
        <f ca="1">IF($C182-V$1&lt;År1,0,U181*(1-VLOOKUP($A182,[1]Hugst!$R$5:$W$9,MATCH(ROUNDUP((V$1)/10,0)*10,[1]Hugst!$R$4:$W$4,0))))</f>
        <v>0</v>
      </c>
      <c r="W182">
        <f ca="1">IF($C182-W$1&lt;År1,0,V181*(1-VLOOKUP($A182,[1]Hugst!$R$5:$W$9,MATCH(ROUNDUP((W$1)/10,0)*10,[1]Hugst!$R$4:$W$4,0))))</f>
        <v>0</v>
      </c>
      <c r="X182">
        <f ca="1">IF($C182-X$1&lt;År1,0,W181*(1-VLOOKUP($A182,[1]Hugst!$R$5:$W$9,MATCH(ROUNDUP((X$1)/10,0)*10,[1]Hugst!$R$4:$W$4,0))))</f>
        <v>0</v>
      </c>
      <c r="Y182">
        <f ca="1">IF($C182-Y$1&lt;År1,0,X181*(1-VLOOKUP($A182,[1]Hugst!$R$5:$W$9,MATCH(ROUNDUP((Y$1)/10,0)*10,[1]Hugst!$R$4:$W$4,0))))</f>
        <v>0</v>
      </c>
      <c r="Z182">
        <f ca="1">IF($C182-Z$1&lt;År1,0,Y181*(1-VLOOKUP($A182,[1]Hugst!$R$5:$W$9,MATCH(ROUNDUP((Z$1)/10,0)*10,[1]Hugst!$R$4:$W$4,0))))</f>
        <v>0</v>
      </c>
      <c r="AA182">
        <f ca="1">IF($C182-AA$1&lt;År1,0,Z181*(1-VLOOKUP($A182,[1]Hugst!$R$5:$W$9,MATCH(ROUNDUP((AA$1)/10,0)*10,[1]Hugst!$R$4:$W$4,0))))</f>
        <v>0</v>
      </c>
      <c r="AB182">
        <f ca="1">IF($C182-AB$1&lt;År1,0,AA181*(1-VLOOKUP($A182,[1]Hugst!$R$5:$W$9,MATCH(ROUNDUP((AB$1)/10,0)*10,[1]Hugst!$R$4:$W$4,0))))</f>
        <v>0</v>
      </c>
      <c r="AC182">
        <f ca="1">IF($C182-AC$1&lt;År1,0,AB181*(1-VLOOKUP($A182,[1]Hugst!$R$5:$W$9,MATCH(ROUNDUP((AC$1)/10,0)*10,[1]Hugst!$R$4:$W$4,0))))</f>
        <v>0</v>
      </c>
      <c r="AD182">
        <f ca="1">IF($C182-AD$1&lt;År1,0,AC181*(1-VLOOKUP($A182,[1]Hugst!$R$5:$W$9,MATCH(ROUNDUP((AD$1)/10,0)*10,[1]Hugst!$R$4:$W$4,0))))</f>
        <v>0</v>
      </c>
      <c r="AE182">
        <f ca="1">IF($C182-AE$1&lt;År1,0,AD181*(1-VLOOKUP($A182,[1]Hugst!$R$5:$W$9,MATCH(ROUNDUP((AE$1)/10,0)*10,[1]Hugst!$R$4:$W$4,0))))</f>
        <v>0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0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>
        <f ca="1">IF($C183-G$1&lt;År1,0,F182*(1-VLOOKUP($A183,[1]Hugst!$R$5:$W$9,MATCH(ROUNDUP((G$1)/10,0)*10,[1]Hugst!$R$4:$W$4,0))))</f>
        <v>0</v>
      </c>
      <c r="H183">
        <f ca="1">IF($C183-H$1&lt;År1,0,G182*(1-VLOOKUP($A183,[1]Hugst!$R$5:$W$9,MATCH(ROUNDUP((H$1)/10,0)*10,[1]Hugst!$R$4:$W$4,0))))</f>
        <v>0</v>
      </c>
      <c r="I183">
        <f ca="1">IF($C183-I$1&lt;År1,0,H182*(1-VLOOKUP($A183,[1]Hugst!$R$5:$W$9,MATCH(ROUNDUP((I$1)/10,0)*10,[1]Hugst!$R$4:$W$4,0))))</f>
        <v>0</v>
      </c>
      <c r="J183">
        <f ca="1">IF($C183-J$1&lt;År1,0,I182*(1-VLOOKUP($A183,[1]Hugst!$R$5:$W$9,MATCH(ROUNDUP((J$1)/10,0)*10,[1]Hugst!$R$4:$W$4,0))))</f>
        <v>0</v>
      </c>
      <c r="K183">
        <f ca="1">IF($C183-K$1&lt;År1,0,J182*(1-VLOOKUP($A183,[1]Hugst!$R$5:$W$9,MATCH(ROUNDUP((K$1)/10,0)*10,[1]Hugst!$R$4:$W$4,0))))</f>
        <v>0</v>
      </c>
      <c r="L183">
        <f ca="1">IF($C183-L$1&lt;År1,0,K182*(1-VLOOKUP($A183,[1]Hugst!$R$5:$W$9,MATCH(ROUNDUP((L$1)/10,0)*10,[1]Hugst!$R$4:$W$4,0))))</f>
        <v>0</v>
      </c>
      <c r="M183">
        <f ca="1">IF($C183-M$1&lt;År1,0,L182*(1-VLOOKUP($A183,[1]Hugst!$R$5:$W$9,MATCH(ROUNDUP((M$1)/10,0)*10,[1]Hugst!$R$4:$W$4,0))))</f>
        <v>0</v>
      </c>
      <c r="N183">
        <f ca="1">IF($C183-N$1&lt;År1,0,M182*(1-VLOOKUP($A183,[1]Hugst!$R$5:$W$9,MATCH(ROUNDUP((N$1)/10,0)*10,[1]Hugst!$R$4:$W$4,0))))</f>
        <v>0</v>
      </c>
      <c r="O183">
        <f ca="1">IF($C183-O$1&lt;År1,0,N182*(1-VLOOKUP($A183,[1]Hugst!$R$5:$W$9,MATCH(ROUNDUP((O$1)/10,0)*10,[1]Hugst!$R$4:$W$4,0))))</f>
        <v>0</v>
      </c>
      <c r="P183">
        <f ca="1">IF($C183-P$1&lt;År1,0,O182*(1-VLOOKUP($A183,[1]Hugst!$R$5:$W$9,MATCH(ROUNDUP((P$1)/10,0)*10,[1]Hugst!$R$4:$W$4,0))))</f>
        <v>0</v>
      </c>
      <c r="Q183">
        <f ca="1">IF($C183-Q$1&lt;År1,0,P182*(1-VLOOKUP($A183,[1]Hugst!$R$5:$W$9,MATCH(ROUNDUP((Q$1)/10,0)*10,[1]Hugst!$R$4:$W$4,0))))</f>
        <v>0</v>
      </c>
      <c r="R183">
        <f ca="1">IF($C183-R$1&lt;År1,0,Q182*(1-VLOOKUP($A183,[1]Hugst!$R$5:$W$9,MATCH(ROUNDUP((R$1)/10,0)*10,[1]Hugst!$R$4:$W$4,0))))</f>
        <v>0</v>
      </c>
      <c r="S183">
        <f ca="1">IF($C183-S$1&lt;År1,0,R182*(1-VLOOKUP($A183,[1]Hugst!$R$5:$W$9,MATCH(ROUNDUP((S$1)/10,0)*10,[1]Hugst!$R$4:$W$4,0))))</f>
        <v>0</v>
      </c>
      <c r="T183">
        <f ca="1">IF($C183-T$1&lt;År1,0,S182*(1-VLOOKUP($A183,[1]Hugst!$R$5:$W$9,MATCH(ROUNDUP((T$1)/10,0)*10,[1]Hugst!$R$4:$W$4,0))))</f>
        <v>0</v>
      </c>
      <c r="U183">
        <f ca="1">IF($C183-U$1&lt;År1,0,T182*(1-VLOOKUP($A183,[1]Hugst!$R$5:$W$9,MATCH(ROUNDUP((U$1)/10,0)*10,[1]Hugst!$R$4:$W$4,0))))</f>
        <v>0</v>
      </c>
      <c r="V183">
        <f ca="1">IF($C183-V$1&lt;År1,0,U182*(1-VLOOKUP($A183,[1]Hugst!$R$5:$W$9,MATCH(ROUNDUP((V$1)/10,0)*10,[1]Hugst!$R$4:$W$4,0))))</f>
        <v>0</v>
      </c>
      <c r="W183">
        <f ca="1">IF($C183-W$1&lt;År1,0,V182*(1-VLOOKUP($A183,[1]Hugst!$R$5:$W$9,MATCH(ROUNDUP((W$1)/10,0)*10,[1]Hugst!$R$4:$W$4,0))))</f>
        <v>0</v>
      </c>
      <c r="X183">
        <f ca="1">IF($C183-X$1&lt;År1,0,W182*(1-VLOOKUP($A183,[1]Hugst!$R$5:$W$9,MATCH(ROUNDUP((X$1)/10,0)*10,[1]Hugst!$R$4:$W$4,0))))</f>
        <v>0</v>
      </c>
      <c r="Y183">
        <f ca="1">IF($C183-Y$1&lt;År1,0,X182*(1-VLOOKUP($A183,[1]Hugst!$R$5:$W$9,MATCH(ROUNDUP((Y$1)/10,0)*10,[1]Hugst!$R$4:$W$4,0))))</f>
        <v>0</v>
      </c>
      <c r="Z183">
        <f ca="1">IF($C183-Z$1&lt;År1,0,Y182*(1-VLOOKUP($A183,[1]Hugst!$R$5:$W$9,MATCH(ROUNDUP((Z$1)/10,0)*10,[1]Hugst!$R$4:$W$4,0))))</f>
        <v>0</v>
      </c>
      <c r="AA183">
        <f ca="1">IF($C183-AA$1&lt;År1,0,Z182*(1-VLOOKUP($A183,[1]Hugst!$R$5:$W$9,MATCH(ROUNDUP((AA$1)/10,0)*10,[1]Hugst!$R$4:$W$4,0))))</f>
        <v>0</v>
      </c>
      <c r="AB183">
        <f ca="1">IF($C183-AB$1&lt;År1,0,AA182*(1-VLOOKUP($A183,[1]Hugst!$R$5:$W$9,MATCH(ROUNDUP((AB$1)/10,0)*10,[1]Hugst!$R$4:$W$4,0))))</f>
        <v>0</v>
      </c>
      <c r="AC183">
        <f ca="1">IF($C183-AC$1&lt;År1,0,AB182*(1-VLOOKUP($A183,[1]Hugst!$R$5:$W$9,MATCH(ROUNDUP((AC$1)/10,0)*10,[1]Hugst!$R$4:$W$4,0))))</f>
        <v>0</v>
      </c>
      <c r="AD183">
        <f ca="1">IF($C183-AD$1&lt;År1,0,AC182*(1-VLOOKUP($A183,[1]Hugst!$R$5:$W$9,MATCH(ROUNDUP((AD$1)/10,0)*10,[1]Hugst!$R$4:$W$4,0))))</f>
        <v>0</v>
      </c>
      <c r="AE183">
        <f ca="1">IF($C183-AE$1&lt;År1,0,AD182*(1-VLOOKUP($A183,[1]Hugst!$R$5:$W$9,MATCH(ROUNDUP((AE$1)/10,0)*10,[1]Hugst!$R$4:$W$4,0))))</f>
        <v>0</v>
      </c>
      <c r="AF183">
        <f ca="1">IF($C183-AF$1&lt;År1,0,AE182*(1-VLOOKUP($A183,[1]Hugst!$R$5:$W$9,MATCH(ROUNDUP((AF$1)/10,0)*10,[1]Hugst!$R$4:$W$4,0))))</f>
        <v>0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0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>
        <f ca="1">IF($C184-G$1&lt;År1,0,F183*(1-VLOOKUP($A184,[1]Hugst!$R$5:$W$9,MATCH(ROUNDUP((G$1)/10,0)*10,[1]Hugst!$R$4:$W$4,0))))</f>
        <v>0</v>
      </c>
      <c r="H184">
        <f ca="1">IF($C184-H$1&lt;År1,0,G183*(1-VLOOKUP($A184,[1]Hugst!$R$5:$W$9,MATCH(ROUNDUP((H$1)/10,0)*10,[1]Hugst!$R$4:$W$4,0))))</f>
        <v>0</v>
      </c>
      <c r="I184">
        <f ca="1">IF($C184-I$1&lt;År1,0,H183*(1-VLOOKUP($A184,[1]Hugst!$R$5:$W$9,MATCH(ROUNDUP((I$1)/10,0)*10,[1]Hugst!$R$4:$W$4,0))))</f>
        <v>0</v>
      </c>
      <c r="J184">
        <f ca="1">IF($C184-J$1&lt;År1,0,I183*(1-VLOOKUP($A184,[1]Hugst!$R$5:$W$9,MATCH(ROUNDUP((J$1)/10,0)*10,[1]Hugst!$R$4:$W$4,0))))</f>
        <v>0</v>
      </c>
      <c r="K184">
        <f ca="1">IF($C184-K$1&lt;År1,0,J183*(1-VLOOKUP($A184,[1]Hugst!$R$5:$W$9,MATCH(ROUNDUP((K$1)/10,0)*10,[1]Hugst!$R$4:$W$4,0))))</f>
        <v>0</v>
      </c>
      <c r="L184">
        <f ca="1">IF($C184-L$1&lt;År1,0,K183*(1-VLOOKUP($A184,[1]Hugst!$R$5:$W$9,MATCH(ROUNDUP((L$1)/10,0)*10,[1]Hugst!$R$4:$W$4,0))))</f>
        <v>0</v>
      </c>
      <c r="M184">
        <f ca="1">IF($C184-M$1&lt;År1,0,L183*(1-VLOOKUP($A184,[1]Hugst!$R$5:$W$9,MATCH(ROUNDUP((M$1)/10,0)*10,[1]Hugst!$R$4:$W$4,0))))</f>
        <v>0</v>
      </c>
      <c r="N184">
        <f ca="1">IF($C184-N$1&lt;År1,0,M183*(1-VLOOKUP($A184,[1]Hugst!$R$5:$W$9,MATCH(ROUNDUP((N$1)/10,0)*10,[1]Hugst!$R$4:$W$4,0))))</f>
        <v>0</v>
      </c>
      <c r="O184">
        <f ca="1">IF($C184-O$1&lt;År1,0,N183*(1-VLOOKUP($A184,[1]Hugst!$R$5:$W$9,MATCH(ROUNDUP((O$1)/10,0)*10,[1]Hugst!$R$4:$W$4,0))))</f>
        <v>0</v>
      </c>
      <c r="P184">
        <f ca="1">IF($C184-P$1&lt;År1,0,O183*(1-VLOOKUP($A184,[1]Hugst!$R$5:$W$9,MATCH(ROUNDUP((P$1)/10,0)*10,[1]Hugst!$R$4:$W$4,0))))</f>
        <v>0</v>
      </c>
      <c r="Q184">
        <f ca="1">IF($C184-Q$1&lt;År1,0,P183*(1-VLOOKUP($A184,[1]Hugst!$R$5:$W$9,MATCH(ROUNDUP((Q$1)/10,0)*10,[1]Hugst!$R$4:$W$4,0))))</f>
        <v>0</v>
      </c>
      <c r="R184">
        <f ca="1">IF($C184-R$1&lt;År1,0,Q183*(1-VLOOKUP($A184,[1]Hugst!$R$5:$W$9,MATCH(ROUNDUP((R$1)/10,0)*10,[1]Hugst!$R$4:$W$4,0))))</f>
        <v>0</v>
      </c>
      <c r="S184">
        <f ca="1">IF($C184-S$1&lt;År1,0,R183*(1-VLOOKUP($A184,[1]Hugst!$R$5:$W$9,MATCH(ROUNDUP((S$1)/10,0)*10,[1]Hugst!$R$4:$W$4,0))))</f>
        <v>0</v>
      </c>
      <c r="T184">
        <f ca="1">IF($C184-T$1&lt;År1,0,S183*(1-VLOOKUP($A184,[1]Hugst!$R$5:$W$9,MATCH(ROUNDUP((T$1)/10,0)*10,[1]Hugst!$R$4:$W$4,0))))</f>
        <v>0</v>
      </c>
      <c r="U184">
        <f ca="1">IF($C184-U$1&lt;År1,0,T183*(1-VLOOKUP($A184,[1]Hugst!$R$5:$W$9,MATCH(ROUNDUP((U$1)/10,0)*10,[1]Hugst!$R$4:$W$4,0))))</f>
        <v>0</v>
      </c>
      <c r="V184">
        <f ca="1">IF($C184-V$1&lt;År1,0,U183*(1-VLOOKUP($A184,[1]Hugst!$R$5:$W$9,MATCH(ROUNDUP((V$1)/10,0)*10,[1]Hugst!$R$4:$W$4,0))))</f>
        <v>0</v>
      </c>
      <c r="W184">
        <f ca="1">IF($C184-W$1&lt;År1,0,V183*(1-VLOOKUP($A184,[1]Hugst!$R$5:$W$9,MATCH(ROUNDUP((W$1)/10,0)*10,[1]Hugst!$R$4:$W$4,0))))</f>
        <v>0</v>
      </c>
      <c r="X184">
        <f ca="1">IF($C184-X$1&lt;År1,0,W183*(1-VLOOKUP($A184,[1]Hugst!$R$5:$W$9,MATCH(ROUNDUP((X$1)/10,0)*10,[1]Hugst!$R$4:$W$4,0))))</f>
        <v>0</v>
      </c>
      <c r="Y184">
        <f ca="1">IF($C184-Y$1&lt;År1,0,X183*(1-VLOOKUP($A184,[1]Hugst!$R$5:$W$9,MATCH(ROUNDUP((Y$1)/10,0)*10,[1]Hugst!$R$4:$W$4,0))))</f>
        <v>0</v>
      </c>
      <c r="Z184">
        <f ca="1">IF($C184-Z$1&lt;År1,0,Y183*(1-VLOOKUP($A184,[1]Hugst!$R$5:$W$9,MATCH(ROUNDUP((Z$1)/10,0)*10,[1]Hugst!$R$4:$W$4,0))))</f>
        <v>0</v>
      </c>
      <c r="AA184">
        <f ca="1">IF($C184-AA$1&lt;År1,0,Z183*(1-VLOOKUP($A184,[1]Hugst!$R$5:$W$9,MATCH(ROUNDUP((AA$1)/10,0)*10,[1]Hugst!$R$4:$W$4,0))))</f>
        <v>0</v>
      </c>
      <c r="AB184">
        <f ca="1">IF($C184-AB$1&lt;År1,0,AA183*(1-VLOOKUP($A184,[1]Hugst!$R$5:$W$9,MATCH(ROUNDUP((AB$1)/10,0)*10,[1]Hugst!$R$4:$W$4,0))))</f>
        <v>0</v>
      </c>
      <c r="AC184">
        <f ca="1">IF($C184-AC$1&lt;År1,0,AB183*(1-VLOOKUP($A184,[1]Hugst!$R$5:$W$9,MATCH(ROUNDUP((AC$1)/10,0)*10,[1]Hugst!$R$4:$W$4,0))))</f>
        <v>0</v>
      </c>
      <c r="AD184">
        <f ca="1">IF($C184-AD$1&lt;År1,0,AC183*(1-VLOOKUP($A184,[1]Hugst!$R$5:$W$9,MATCH(ROUNDUP((AD$1)/10,0)*10,[1]Hugst!$R$4:$W$4,0))))</f>
        <v>0</v>
      </c>
      <c r="AE184">
        <f ca="1">IF($C184-AE$1&lt;År1,0,AD183*(1-VLOOKUP($A184,[1]Hugst!$R$5:$W$9,MATCH(ROUNDUP((AE$1)/10,0)*10,[1]Hugst!$R$4:$W$4,0))))</f>
        <v>0</v>
      </c>
      <c r="AF184">
        <f ca="1">IF($C184-AF$1&lt;År1,0,AE183*(1-VLOOKUP($A184,[1]Hugst!$R$5:$W$9,MATCH(ROUNDUP((AF$1)/10,0)*10,[1]Hugst!$R$4:$W$4,0))))</f>
        <v>0</v>
      </c>
      <c r="AG184">
        <f ca="1">IF($C184-AG$1&lt;År1,0,AF183*(1-VLOOKUP($A184,[1]Hugst!$R$5:$W$9,MATCH(ROUNDUP((AG$1)/10,0)*10,[1]Hugst!$R$4:$W$4,0))))</f>
        <v>0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0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>
        <f ca="1">IF($C185-G$1&lt;År1,0,F184*(1-VLOOKUP($A185,[1]Hugst!$R$5:$W$9,MATCH(ROUNDUP((G$1)/10,0)*10,[1]Hugst!$R$4:$W$4,0))))</f>
        <v>0</v>
      </c>
      <c r="H185">
        <f ca="1">IF($C185-H$1&lt;År1,0,G184*(1-VLOOKUP($A185,[1]Hugst!$R$5:$W$9,MATCH(ROUNDUP((H$1)/10,0)*10,[1]Hugst!$R$4:$W$4,0))))</f>
        <v>0</v>
      </c>
      <c r="I185">
        <f ca="1">IF($C185-I$1&lt;År1,0,H184*(1-VLOOKUP($A185,[1]Hugst!$R$5:$W$9,MATCH(ROUNDUP((I$1)/10,0)*10,[1]Hugst!$R$4:$W$4,0))))</f>
        <v>0</v>
      </c>
      <c r="J185">
        <f ca="1">IF($C185-J$1&lt;År1,0,I184*(1-VLOOKUP($A185,[1]Hugst!$R$5:$W$9,MATCH(ROUNDUP((J$1)/10,0)*10,[1]Hugst!$R$4:$W$4,0))))</f>
        <v>0</v>
      </c>
      <c r="K185">
        <f ca="1">IF($C185-K$1&lt;År1,0,J184*(1-VLOOKUP($A185,[1]Hugst!$R$5:$W$9,MATCH(ROUNDUP((K$1)/10,0)*10,[1]Hugst!$R$4:$W$4,0))))</f>
        <v>0</v>
      </c>
      <c r="L185">
        <f ca="1">IF($C185-L$1&lt;År1,0,K184*(1-VLOOKUP($A185,[1]Hugst!$R$5:$W$9,MATCH(ROUNDUP((L$1)/10,0)*10,[1]Hugst!$R$4:$W$4,0))))</f>
        <v>0</v>
      </c>
      <c r="M185">
        <f ca="1">IF($C185-M$1&lt;År1,0,L184*(1-VLOOKUP($A185,[1]Hugst!$R$5:$W$9,MATCH(ROUNDUP((M$1)/10,0)*10,[1]Hugst!$R$4:$W$4,0))))</f>
        <v>0</v>
      </c>
      <c r="N185">
        <f ca="1">IF($C185-N$1&lt;År1,0,M184*(1-VLOOKUP($A185,[1]Hugst!$R$5:$W$9,MATCH(ROUNDUP((N$1)/10,0)*10,[1]Hugst!$R$4:$W$4,0))))</f>
        <v>0</v>
      </c>
      <c r="O185">
        <f ca="1">IF($C185-O$1&lt;År1,0,N184*(1-VLOOKUP($A185,[1]Hugst!$R$5:$W$9,MATCH(ROUNDUP((O$1)/10,0)*10,[1]Hugst!$R$4:$W$4,0))))</f>
        <v>0</v>
      </c>
      <c r="P185">
        <f ca="1">IF($C185-P$1&lt;År1,0,O184*(1-VLOOKUP($A185,[1]Hugst!$R$5:$W$9,MATCH(ROUNDUP((P$1)/10,0)*10,[1]Hugst!$R$4:$W$4,0))))</f>
        <v>0</v>
      </c>
      <c r="Q185">
        <f ca="1">IF($C185-Q$1&lt;År1,0,P184*(1-VLOOKUP($A185,[1]Hugst!$R$5:$W$9,MATCH(ROUNDUP((Q$1)/10,0)*10,[1]Hugst!$R$4:$W$4,0))))</f>
        <v>0</v>
      </c>
      <c r="R185">
        <f ca="1">IF($C185-R$1&lt;År1,0,Q184*(1-VLOOKUP($A185,[1]Hugst!$R$5:$W$9,MATCH(ROUNDUP((R$1)/10,0)*10,[1]Hugst!$R$4:$W$4,0))))</f>
        <v>0</v>
      </c>
      <c r="S185">
        <f ca="1">IF($C185-S$1&lt;År1,0,R184*(1-VLOOKUP($A185,[1]Hugst!$R$5:$W$9,MATCH(ROUNDUP((S$1)/10,0)*10,[1]Hugst!$R$4:$W$4,0))))</f>
        <v>0</v>
      </c>
      <c r="T185">
        <f ca="1">IF($C185-T$1&lt;År1,0,S184*(1-VLOOKUP($A185,[1]Hugst!$R$5:$W$9,MATCH(ROUNDUP((T$1)/10,0)*10,[1]Hugst!$R$4:$W$4,0))))</f>
        <v>0</v>
      </c>
      <c r="U185">
        <f ca="1">IF($C185-U$1&lt;År1,0,T184*(1-VLOOKUP($A185,[1]Hugst!$R$5:$W$9,MATCH(ROUNDUP((U$1)/10,0)*10,[1]Hugst!$R$4:$W$4,0))))</f>
        <v>0</v>
      </c>
      <c r="V185">
        <f ca="1">IF($C185-V$1&lt;År1,0,U184*(1-VLOOKUP($A185,[1]Hugst!$R$5:$W$9,MATCH(ROUNDUP((V$1)/10,0)*10,[1]Hugst!$R$4:$W$4,0))))</f>
        <v>0</v>
      </c>
      <c r="W185">
        <f ca="1">IF($C185-W$1&lt;År1,0,V184*(1-VLOOKUP($A185,[1]Hugst!$R$5:$W$9,MATCH(ROUNDUP((W$1)/10,0)*10,[1]Hugst!$R$4:$W$4,0))))</f>
        <v>0</v>
      </c>
      <c r="X185">
        <f ca="1">IF($C185-X$1&lt;År1,0,W184*(1-VLOOKUP($A185,[1]Hugst!$R$5:$W$9,MATCH(ROUNDUP((X$1)/10,0)*10,[1]Hugst!$R$4:$W$4,0))))</f>
        <v>0</v>
      </c>
      <c r="Y185">
        <f ca="1">IF($C185-Y$1&lt;År1,0,X184*(1-VLOOKUP($A185,[1]Hugst!$R$5:$W$9,MATCH(ROUNDUP((Y$1)/10,0)*10,[1]Hugst!$R$4:$W$4,0))))</f>
        <v>0</v>
      </c>
      <c r="Z185">
        <f ca="1">IF($C185-Z$1&lt;År1,0,Y184*(1-VLOOKUP($A185,[1]Hugst!$R$5:$W$9,MATCH(ROUNDUP((Z$1)/10,0)*10,[1]Hugst!$R$4:$W$4,0))))</f>
        <v>0</v>
      </c>
      <c r="AA185">
        <f ca="1">IF($C185-AA$1&lt;År1,0,Z184*(1-VLOOKUP($A185,[1]Hugst!$R$5:$W$9,MATCH(ROUNDUP((AA$1)/10,0)*10,[1]Hugst!$R$4:$W$4,0))))</f>
        <v>0</v>
      </c>
      <c r="AB185">
        <f ca="1">IF($C185-AB$1&lt;År1,0,AA184*(1-VLOOKUP($A185,[1]Hugst!$R$5:$W$9,MATCH(ROUNDUP((AB$1)/10,0)*10,[1]Hugst!$R$4:$W$4,0))))</f>
        <v>0</v>
      </c>
      <c r="AC185">
        <f ca="1">IF($C185-AC$1&lt;År1,0,AB184*(1-VLOOKUP($A185,[1]Hugst!$R$5:$W$9,MATCH(ROUNDUP((AC$1)/10,0)*10,[1]Hugst!$R$4:$W$4,0))))</f>
        <v>0</v>
      </c>
      <c r="AD185">
        <f ca="1">IF($C185-AD$1&lt;År1,0,AC184*(1-VLOOKUP($A185,[1]Hugst!$R$5:$W$9,MATCH(ROUNDUP((AD$1)/10,0)*10,[1]Hugst!$R$4:$W$4,0))))</f>
        <v>0</v>
      </c>
      <c r="AE185">
        <f ca="1">IF($C185-AE$1&lt;År1,0,AD184*(1-VLOOKUP($A185,[1]Hugst!$R$5:$W$9,MATCH(ROUNDUP((AE$1)/10,0)*10,[1]Hugst!$R$4:$W$4,0))))</f>
        <v>0</v>
      </c>
      <c r="AF185">
        <f ca="1">IF($C185-AF$1&lt;År1,0,AE184*(1-VLOOKUP($A185,[1]Hugst!$R$5:$W$9,MATCH(ROUNDUP((AF$1)/10,0)*10,[1]Hugst!$R$4:$W$4,0))))</f>
        <v>0</v>
      </c>
      <c r="AG185">
        <f ca="1">IF($C185-AG$1&lt;År1,0,AF184*(1-VLOOKUP($A185,[1]Hugst!$R$5:$W$9,MATCH(ROUNDUP((AG$1)/10,0)*10,[1]Hugst!$R$4:$W$4,0))))</f>
        <v>0</v>
      </c>
      <c r="AH185">
        <f ca="1">IF($C185-AH$1&lt;År1,0,AG184*(1-VLOOKUP($A185,[1]Hugst!$R$5:$W$9,MATCH(ROUNDUP((AH$1)/10,0)*10,[1]Hugst!$R$4:$W$4,0))))</f>
        <v>0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0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>
        <f ca="1">IF($C186-G$1&lt;År1,0,F185*(1-VLOOKUP($A186,[1]Hugst!$R$5:$W$9,MATCH(ROUNDUP((G$1)/10,0)*10,[1]Hugst!$R$4:$W$4,0))))</f>
        <v>0</v>
      </c>
      <c r="H186">
        <f ca="1">IF($C186-H$1&lt;År1,0,G185*(1-VLOOKUP($A186,[1]Hugst!$R$5:$W$9,MATCH(ROUNDUP((H$1)/10,0)*10,[1]Hugst!$R$4:$W$4,0))))</f>
        <v>0</v>
      </c>
      <c r="I186">
        <f ca="1">IF($C186-I$1&lt;År1,0,H185*(1-VLOOKUP($A186,[1]Hugst!$R$5:$W$9,MATCH(ROUNDUP((I$1)/10,0)*10,[1]Hugst!$R$4:$W$4,0))))</f>
        <v>0</v>
      </c>
      <c r="J186">
        <f ca="1">IF($C186-J$1&lt;År1,0,I185*(1-VLOOKUP($A186,[1]Hugst!$R$5:$W$9,MATCH(ROUNDUP((J$1)/10,0)*10,[1]Hugst!$R$4:$W$4,0))))</f>
        <v>0</v>
      </c>
      <c r="K186">
        <f ca="1">IF($C186-K$1&lt;År1,0,J185*(1-VLOOKUP($A186,[1]Hugst!$R$5:$W$9,MATCH(ROUNDUP((K$1)/10,0)*10,[1]Hugst!$R$4:$W$4,0))))</f>
        <v>0</v>
      </c>
      <c r="L186">
        <f ca="1">IF($C186-L$1&lt;År1,0,K185*(1-VLOOKUP($A186,[1]Hugst!$R$5:$W$9,MATCH(ROUNDUP((L$1)/10,0)*10,[1]Hugst!$R$4:$W$4,0))))</f>
        <v>0</v>
      </c>
      <c r="M186">
        <f ca="1">IF($C186-M$1&lt;År1,0,L185*(1-VLOOKUP($A186,[1]Hugst!$R$5:$W$9,MATCH(ROUNDUP((M$1)/10,0)*10,[1]Hugst!$R$4:$W$4,0))))</f>
        <v>0</v>
      </c>
      <c r="N186">
        <f ca="1">IF($C186-N$1&lt;År1,0,M185*(1-VLOOKUP($A186,[1]Hugst!$R$5:$W$9,MATCH(ROUNDUP((N$1)/10,0)*10,[1]Hugst!$R$4:$W$4,0))))</f>
        <v>0</v>
      </c>
      <c r="O186">
        <f ca="1">IF($C186-O$1&lt;År1,0,N185*(1-VLOOKUP($A186,[1]Hugst!$R$5:$W$9,MATCH(ROUNDUP((O$1)/10,0)*10,[1]Hugst!$R$4:$W$4,0))))</f>
        <v>0</v>
      </c>
      <c r="P186">
        <f ca="1">IF($C186-P$1&lt;År1,0,O185*(1-VLOOKUP($A186,[1]Hugst!$R$5:$W$9,MATCH(ROUNDUP((P$1)/10,0)*10,[1]Hugst!$R$4:$W$4,0))))</f>
        <v>0</v>
      </c>
      <c r="Q186">
        <f ca="1">IF($C186-Q$1&lt;År1,0,P185*(1-VLOOKUP($A186,[1]Hugst!$R$5:$W$9,MATCH(ROUNDUP((Q$1)/10,0)*10,[1]Hugst!$R$4:$W$4,0))))</f>
        <v>0</v>
      </c>
      <c r="R186">
        <f ca="1">IF($C186-R$1&lt;År1,0,Q185*(1-VLOOKUP($A186,[1]Hugst!$R$5:$W$9,MATCH(ROUNDUP((R$1)/10,0)*10,[1]Hugst!$R$4:$W$4,0))))</f>
        <v>0</v>
      </c>
      <c r="S186">
        <f ca="1">IF($C186-S$1&lt;År1,0,R185*(1-VLOOKUP($A186,[1]Hugst!$R$5:$W$9,MATCH(ROUNDUP((S$1)/10,0)*10,[1]Hugst!$R$4:$W$4,0))))</f>
        <v>0</v>
      </c>
      <c r="T186">
        <f ca="1">IF($C186-T$1&lt;År1,0,S185*(1-VLOOKUP($A186,[1]Hugst!$R$5:$W$9,MATCH(ROUNDUP((T$1)/10,0)*10,[1]Hugst!$R$4:$W$4,0))))</f>
        <v>0</v>
      </c>
      <c r="U186">
        <f ca="1">IF($C186-U$1&lt;År1,0,T185*(1-VLOOKUP($A186,[1]Hugst!$R$5:$W$9,MATCH(ROUNDUP((U$1)/10,0)*10,[1]Hugst!$R$4:$W$4,0))))</f>
        <v>0</v>
      </c>
      <c r="V186">
        <f ca="1">IF($C186-V$1&lt;År1,0,U185*(1-VLOOKUP($A186,[1]Hugst!$R$5:$W$9,MATCH(ROUNDUP((V$1)/10,0)*10,[1]Hugst!$R$4:$W$4,0))))</f>
        <v>0</v>
      </c>
      <c r="W186">
        <f ca="1">IF($C186-W$1&lt;År1,0,V185*(1-VLOOKUP($A186,[1]Hugst!$R$5:$W$9,MATCH(ROUNDUP((W$1)/10,0)*10,[1]Hugst!$R$4:$W$4,0))))</f>
        <v>0</v>
      </c>
      <c r="X186">
        <f ca="1">IF($C186-X$1&lt;År1,0,W185*(1-VLOOKUP($A186,[1]Hugst!$R$5:$W$9,MATCH(ROUNDUP((X$1)/10,0)*10,[1]Hugst!$R$4:$W$4,0))))</f>
        <v>0</v>
      </c>
      <c r="Y186">
        <f ca="1">IF($C186-Y$1&lt;År1,0,X185*(1-VLOOKUP($A186,[1]Hugst!$R$5:$W$9,MATCH(ROUNDUP((Y$1)/10,0)*10,[1]Hugst!$R$4:$W$4,0))))</f>
        <v>0</v>
      </c>
      <c r="Z186">
        <f ca="1">IF($C186-Z$1&lt;År1,0,Y185*(1-VLOOKUP($A186,[1]Hugst!$R$5:$W$9,MATCH(ROUNDUP((Z$1)/10,0)*10,[1]Hugst!$R$4:$W$4,0))))</f>
        <v>0</v>
      </c>
      <c r="AA186">
        <f ca="1">IF($C186-AA$1&lt;År1,0,Z185*(1-VLOOKUP($A186,[1]Hugst!$R$5:$W$9,MATCH(ROUNDUP((AA$1)/10,0)*10,[1]Hugst!$R$4:$W$4,0))))</f>
        <v>0</v>
      </c>
      <c r="AB186">
        <f ca="1">IF($C186-AB$1&lt;År1,0,AA185*(1-VLOOKUP($A186,[1]Hugst!$R$5:$W$9,MATCH(ROUNDUP((AB$1)/10,0)*10,[1]Hugst!$R$4:$W$4,0))))</f>
        <v>0</v>
      </c>
      <c r="AC186">
        <f ca="1">IF($C186-AC$1&lt;År1,0,AB185*(1-VLOOKUP($A186,[1]Hugst!$R$5:$W$9,MATCH(ROUNDUP((AC$1)/10,0)*10,[1]Hugst!$R$4:$W$4,0))))</f>
        <v>0</v>
      </c>
      <c r="AD186">
        <f ca="1">IF($C186-AD$1&lt;År1,0,AC185*(1-VLOOKUP($A186,[1]Hugst!$R$5:$W$9,MATCH(ROUNDUP((AD$1)/10,0)*10,[1]Hugst!$R$4:$W$4,0))))</f>
        <v>0</v>
      </c>
      <c r="AE186">
        <f ca="1">IF($C186-AE$1&lt;År1,0,AD185*(1-VLOOKUP($A186,[1]Hugst!$R$5:$W$9,MATCH(ROUNDUP((AE$1)/10,0)*10,[1]Hugst!$R$4:$W$4,0))))</f>
        <v>0</v>
      </c>
      <c r="AF186">
        <f ca="1">IF($C186-AF$1&lt;År1,0,AE185*(1-VLOOKUP($A186,[1]Hugst!$R$5:$W$9,MATCH(ROUNDUP((AF$1)/10,0)*10,[1]Hugst!$R$4:$W$4,0))))</f>
        <v>0</v>
      </c>
      <c r="AG186">
        <f ca="1">IF($C186-AG$1&lt;År1,0,AF185*(1-VLOOKUP($A186,[1]Hugst!$R$5:$W$9,MATCH(ROUNDUP((AG$1)/10,0)*10,[1]Hugst!$R$4:$W$4,0))))</f>
        <v>0</v>
      </c>
      <c r="AH186">
        <f ca="1">IF($C186-AH$1&lt;År1,0,AG185*(1-VLOOKUP($A186,[1]Hugst!$R$5:$W$9,MATCH(ROUNDUP((AH$1)/10,0)*10,[1]Hugst!$R$4:$W$4,0))))</f>
        <v>0</v>
      </c>
      <c r="AI186">
        <f ca="1">IF($C186-AI$1&lt;År1,0,AH185*(1-VLOOKUP($A186,[1]Hugst!$R$5:$W$9,MATCH(ROUNDUP((AI$1)/10,0)*10,[1]Hugst!$R$4:$W$4,0))))</f>
        <v>0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0</v>
      </c>
      <c r="E187">
        <f t="shared" ca="1" si="3"/>
        <v>0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>
        <f ca="1">IF($C187-G$1&lt;År1,0,F186*(1-VLOOKUP($A187,[1]Hugst!$R$5:$W$9,MATCH(ROUNDUP((G$1)/10,0)*10,[1]Hugst!$R$4:$W$4,0))))</f>
        <v>0</v>
      </c>
      <c r="H187">
        <f ca="1">IF($C187-H$1&lt;År1,0,G186*(1-VLOOKUP($A187,[1]Hugst!$R$5:$W$9,MATCH(ROUNDUP((H$1)/10,0)*10,[1]Hugst!$R$4:$W$4,0))))</f>
        <v>0</v>
      </c>
      <c r="I187">
        <f ca="1">IF($C187-I$1&lt;År1,0,H186*(1-VLOOKUP($A187,[1]Hugst!$R$5:$W$9,MATCH(ROUNDUP((I$1)/10,0)*10,[1]Hugst!$R$4:$W$4,0))))</f>
        <v>0</v>
      </c>
      <c r="J187">
        <f ca="1">IF($C187-J$1&lt;År1,0,I186*(1-VLOOKUP($A187,[1]Hugst!$R$5:$W$9,MATCH(ROUNDUP((J$1)/10,0)*10,[1]Hugst!$R$4:$W$4,0))))</f>
        <v>0</v>
      </c>
      <c r="K187">
        <f ca="1">IF($C187-K$1&lt;År1,0,J186*(1-VLOOKUP($A187,[1]Hugst!$R$5:$W$9,MATCH(ROUNDUP((K$1)/10,0)*10,[1]Hugst!$R$4:$W$4,0))))</f>
        <v>0</v>
      </c>
      <c r="L187">
        <f ca="1">IF($C187-L$1&lt;År1,0,K186*(1-VLOOKUP($A187,[1]Hugst!$R$5:$W$9,MATCH(ROUNDUP((L$1)/10,0)*10,[1]Hugst!$R$4:$W$4,0))))</f>
        <v>0</v>
      </c>
      <c r="M187">
        <f ca="1">IF($C187-M$1&lt;År1,0,L186*(1-VLOOKUP($A187,[1]Hugst!$R$5:$W$9,MATCH(ROUNDUP((M$1)/10,0)*10,[1]Hugst!$R$4:$W$4,0))))</f>
        <v>0</v>
      </c>
      <c r="N187">
        <f ca="1">IF($C187-N$1&lt;År1,0,M186*(1-VLOOKUP($A187,[1]Hugst!$R$5:$W$9,MATCH(ROUNDUP((N$1)/10,0)*10,[1]Hugst!$R$4:$W$4,0))))</f>
        <v>0</v>
      </c>
      <c r="O187">
        <f ca="1">IF($C187-O$1&lt;År1,0,N186*(1-VLOOKUP($A187,[1]Hugst!$R$5:$W$9,MATCH(ROUNDUP((O$1)/10,0)*10,[1]Hugst!$R$4:$W$4,0))))</f>
        <v>0</v>
      </c>
      <c r="P187">
        <f ca="1">IF($C187-P$1&lt;År1,0,O186*(1-VLOOKUP($A187,[1]Hugst!$R$5:$W$9,MATCH(ROUNDUP((P$1)/10,0)*10,[1]Hugst!$R$4:$W$4,0))))</f>
        <v>0</v>
      </c>
      <c r="Q187">
        <f ca="1">IF($C187-Q$1&lt;År1,0,P186*(1-VLOOKUP($A187,[1]Hugst!$R$5:$W$9,MATCH(ROUNDUP((Q$1)/10,0)*10,[1]Hugst!$R$4:$W$4,0))))</f>
        <v>0</v>
      </c>
      <c r="R187">
        <f ca="1">IF($C187-R$1&lt;År1,0,Q186*(1-VLOOKUP($A187,[1]Hugst!$R$5:$W$9,MATCH(ROUNDUP((R$1)/10,0)*10,[1]Hugst!$R$4:$W$4,0))))</f>
        <v>0</v>
      </c>
      <c r="S187">
        <f ca="1">IF($C187-S$1&lt;År1,0,R186*(1-VLOOKUP($A187,[1]Hugst!$R$5:$W$9,MATCH(ROUNDUP((S$1)/10,0)*10,[1]Hugst!$R$4:$W$4,0))))</f>
        <v>0</v>
      </c>
      <c r="T187">
        <f ca="1">IF($C187-T$1&lt;År1,0,S186*(1-VLOOKUP($A187,[1]Hugst!$R$5:$W$9,MATCH(ROUNDUP((T$1)/10,0)*10,[1]Hugst!$R$4:$W$4,0))))</f>
        <v>0</v>
      </c>
      <c r="U187">
        <f ca="1">IF($C187-U$1&lt;År1,0,T186*(1-VLOOKUP($A187,[1]Hugst!$R$5:$W$9,MATCH(ROUNDUP((U$1)/10,0)*10,[1]Hugst!$R$4:$W$4,0))))</f>
        <v>0</v>
      </c>
      <c r="V187">
        <f ca="1">IF($C187-V$1&lt;År1,0,U186*(1-VLOOKUP($A187,[1]Hugst!$R$5:$W$9,MATCH(ROUNDUP((V$1)/10,0)*10,[1]Hugst!$R$4:$W$4,0))))</f>
        <v>0</v>
      </c>
      <c r="W187">
        <f ca="1">IF($C187-W$1&lt;År1,0,V186*(1-VLOOKUP($A187,[1]Hugst!$R$5:$W$9,MATCH(ROUNDUP((W$1)/10,0)*10,[1]Hugst!$R$4:$W$4,0))))</f>
        <v>0</v>
      </c>
      <c r="X187">
        <f ca="1">IF($C187-X$1&lt;År1,0,W186*(1-VLOOKUP($A187,[1]Hugst!$R$5:$W$9,MATCH(ROUNDUP((X$1)/10,0)*10,[1]Hugst!$R$4:$W$4,0))))</f>
        <v>0</v>
      </c>
      <c r="Y187">
        <f ca="1">IF($C187-Y$1&lt;År1,0,X186*(1-VLOOKUP($A187,[1]Hugst!$R$5:$W$9,MATCH(ROUNDUP((Y$1)/10,0)*10,[1]Hugst!$R$4:$W$4,0))))</f>
        <v>0</v>
      </c>
      <c r="Z187">
        <f ca="1">IF($C187-Z$1&lt;År1,0,Y186*(1-VLOOKUP($A187,[1]Hugst!$R$5:$W$9,MATCH(ROUNDUP((Z$1)/10,0)*10,[1]Hugst!$R$4:$W$4,0))))</f>
        <v>0</v>
      </c>
      <c r="AA187">
        <f ca="1">IF($C187-AA$1&lt;År1,0,Z186*(1-VLOOKUP($A187,[1]Hugst!$R$5:$W$9,MATCH(ROUNDUP((AA$1)/10,0)*10,[1]Hugst!$R$4:$W$4,0))))</f>
        <v>0</v>
      </c>
      <c r="AB187">
        <f ca="1">IF($C187-AB$1&lt;År1,0,AA186*(1-VLOOKUP($A187,[1]Hugst!$R$5:$W$9,MATCH(ROUNDUP((AB$1)/10,0)*10,[1]Hugst!$R$4:$W$4,0))))</f>
        <v>0</v>
      </c>
      <c r="AC187">
        <f ca="1">IF($C187-AC$1&lt;År1,0,AB186*(1-VLOOKUP($A187,[1]Hugst!$R$5:$W$9,MATCH(ROUNDUP((AC$1)/10,0)*10,[1]Hugst!$R$4:$W$4,0))))</f>
        <v>0</v>
      </c>
      <c r="AD187">
        <f ca="1">IF($C187-AD$1&lt;År1,0,AC186*(1-VLOOKUP($A187,[1]Hugst!$R$5:$W$9,MATCH(ROUNDUP((AD$1)/10,0)*10,[1]Hugst!$R$4:$W$4,0))))</f>
        <v>0</v>
      </c>
      <c r="AE187">
        <f ca="1">IF($C187-AE$1&lt;År1,0,AD186*(1-VLOOKUP($A187,[1]Hugst!$R$5:$W$9,MATCH(ROUNDUP((AE$1)/10,0)*10,[1]Hugst!$R$4:$W$4,0))))</f>
        <v>0</v>
      </c>
      <c r="AF187">
        <f ca="1">IF($C187-AF$1&lt;År1,0,AE186*(1-VLOOKUP($A187,[1]Hugst!$R$5:$W$9,MATCH(ROUNDUP((AF$1)/10,0)*10,[1]Hugst!$R$4:$W$4,0))))</f>
        <v>0</v>
      </c>
      <c r="AG187">
        <f ca="1">IF($C187-AG$1&lt;År1,0,AF186*(1-VLOOKUP($A187,[1]Hugst!$R$5:$W$9,MATCH(ROUNDUP((AG$1)/10,0)*10,[1]Hugst!$R$4:$W$4,0))))</f>
        <v>0</v>
      </c>
      <c r="AH187">
        <f ca="1">IF($C187-AH$1&lt;År1,0,AG186*(1-VLOOKUP($A187,[1]Hugst!$R$5:$W$9,MATCH(ROUNDUP((AH$1)/10,0)*10,[1]Hugst!$R$4:$W$4,0))))</f>
        <v>0</v>
      </c>
      <c r="AI187">
        <f ca="1">IF($C187-AI$1&lt;År1,0,AH186*(1-VLOOKUP($A187,[1]Hugst!$R$5:$W$9,MATCH(ROUNDUP((AI$1)/10,0)*10,[1]Hugst!$R$4:$W$4,0))))</f>
        <v>0</v>
      </c>
      <c r="AJ187">
        <f ca="1">IF($C187-AJ$1&lt;År1,0,AI186*(1-VLOOKUP($A187,[1]Hugst!$R$5:$W$9,MATCH(ROUNDUP((AJ$1)/10,0)*10,[1]Hugst!$R$4:$W$4,0))))</f>
        <v>0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0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0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>
        <f ca="1">IF($C189-G$1&lt;År1,0,F188*(1-VLOOKUP($A189,[1]Hugst!$R$5:$W$9,MATCH(ROUNDUP((G$1)/10,0)*10,[1]Hugst!$R$4:$W$4,0))))</f>
        <v>0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0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>
        <f ca="1">IF($C190-G$1&lt;År1,0,F189*(1-VLOOKUP($A190,[1]Hugst!$R$5:$W$9,MATCH(ROUNDUP((G$1)/10,0)*10,[1]Hugst!$R$4:$W$4,0))))</f>
        <v>0</v>
      </c>
      <c r="H190">
        <f ca="1">IF($C190-H$1&lt;År1,0,G189*(1-VLOOKUP($A190,[1]Hugst!$R$5:$W$9,MATCH(ROUNDUP((H$1)/10,0)*10,[1]Hugst!$R$4:$W$4,0))))</f>
        <v>0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0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>
        <f ca="1">IF($C191-G$1&lt;År1,0,F190*(1-VLOOKUP($A191,[1]Hugst!$R$5:$W$9,MATCH(ROUNDUP((G$1)/10,0)*10,[1]Hugst!$R$4:$W$4,0))))</f>
        <v>0</v>
      </c>
      <c r="H191">
        <f ca="1">IF($C191-H$1&lt;År1,0,G190*(1-VLOOKUP($A191,[1]Hugst!$R$5:$W$9,MATCH(ROUNDUP((H$1)/10,0)*10,[1]Hugst!$R$4:$W$4,0))))</f>
        <v>0</v>
      </c>
      <c r="I191">
        <f ca="1">IF($C191-I$1&lt;År1,0,H190*(1-VLOOKUP($A191,[1]Hugst!$R$5:$W$9,MATCH(ROUNDUP((I$1)/10,0)*10,[1]Hugst!$R$4:$W$4,0))))</f>
        <v>0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0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>
        <f ca="1">IF($C192-G$1&lt;År1,0,F191*(1-VLOOKUP($A192,[1]Hugst!$R$5:$W$9,MATCH(ROUNDUP((G$1)/10,0)*10,[1]Hugst!$R$4:$W$4,0))))</f>
        <v>0</v>
      </c>
      <c r="H192">
        <f ca="1">IF($C192-H$1&lt;År1,0,G191*(1-VLOOKUP($A192,[1]Hugst!$R$5:$W$9,MATCH(ROUNDUP((H$1)/10,0)*10,[1]Hugst!$R$4:$W$4,0))))</f>
        <v>0</v>
      </c>
      <c r="I192">
        <f ca="1">IF($C192-I$1&lt;År1,0,H191*(1-VLOOKUP($A192,[1]Hugst!$R$5:$W$9,MATCH(ROUNDUP((I$1)/10,0)*10,[1]Hugst!$R$4:$W$4,0))))</f>
        <v>0</v>
      </c>
      <c r="J192">
        <f ca="1">IF($C192-J$1&lt;År1,0,I191*(1-VLOOKUP($A192,[1]Hugst!$R$5:$W$9,MATCH(ROUNDUP((J$1)/10,0)*10,[1]Hugst!$R$4:$W$4,0))))</f>
        <v>0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0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>
        <f ca="1">IF($C193-G$1&lt;År1,0,F192*(1-VLOOKUP($A193,[1]Hugst!$R$5:$W$9,MATCH(ROUNDUP((G$1)/10,0)*10,[1]Hugst!$R$4:$W$4,0))))</f>
        <v>0</v>
      </c>
      <c r="H193">
        <f ca="1">IF($C193-H$1&lt;År1,0,G192*(1-VLOOKUP($A193,[1]Hugst!$R$5:$W$9,MATCH(ROUNDUP((H$1)/10,0)*10,[1]Hugst!$R$4:$W$4,0))))</f>
        <v>0</v>
      </c>
      <c r="I193">
        <f ca="1">IF($C193-I$1&lt;År1,0,H192*(1-VLOOKUP($A193,[1]Hugst!$R$5:$W$9,MATCH(ROUNDUP((I$1)/10,0)*10,[1]Hugst!$R$4:$W$4,0))))</f>
        <v>0</v>
      </c>
      <c r="J193">
        <f ca="1">IF($C193-J$1&lt;År1,0,I192*(1-VLOOKUP($A193,[1]Hugst!$R$5:$W$9,MATCH(ROUNDUP((J$1)/10,0)*10,[1]Hugst!$R$4:$W$4,0))))</f>
        <v>0</v>
      </c>
      <c r="K193">
        <f ca="1">IF($C193-K$1&lt;År1,0,J192*(1-VLOOKUP($A193,[1]Hugst!$R$5:$W$9,MATCH(ROUNDUP((K$1)/10,0)*10,[1]Hugst!$R$4:$W$4,0))))</f>
        <v>0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0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>
        <f ca="1">IF($C194-G$1&lt;År1,0,F193*(1-VLOOKUP($A194,[1]Hugst!$R$5:$W$9,MATCH(ROUNDUP((G$1)/10,0)*10,[1]Hugst!$R$4:$W$4,0))))</f>
        <v>0</v>
      </c>
      <c r="H194">
        <f ca="1">IF($C194-H$1&lt;År1,0,G193*(1-VLOOKUP($A194,[1]Hugst!$R$5:$W$9,MATCH(ROUNDUP((H$1)/10,0)*10,[1]Hugst!$R$4:$W$4,0))))</f>
        <v>0</v>
      </c>
      <c r="I194">
        <f ca="1">IF($C194-I$1&lt;År1,0,H193*(1-VLOOKUP($A194,[1]Hugst!$R$5:$W$9,MATCH(ROUNDUP((I$1)/10,0)*10,[1]Hugst!$R$4:$W$4,0))))</f>
        <v>0</v>
      </c>
      <c r="J194">
        <f ca="1">IF($C194-J$1&lt;År1,0,I193*(1-VLOOKUP($A194,[1]Hugst!$R$5:$W$9,MATCH(ROUNDUP((J$1)/10,0)*10,[1]Hugst!$R$4:$W$4,0))))</f>
        <v>0</v>
      </c>
      <c r="K194">
        <f ca="1">IF($C194-K$1&lt;År1,0,J193*(1-VLOOKUP($A194,[1]Hugst!$R$5:$W$9,MATCH(ROUNDUP((K$1)/10,0)*10,[1]Hugst!$R$4:$W$4,0))))</f>
        <v>0</v>
      </c>
      <c r="L194">
        <f ca="1">IF($C194-L$1&lt;År1,0,K193*(1-VLOOKUP($A194,[1]Hugst!$R$5:$W$9,MATCH(ROUNDUP((L$1)/10,0)*10,[1]Hugst!$R$4:$W$4,0))))</f>
        <v>0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0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>
        <f ca="1">IF($C195-G$1&lt;År1,0,F194*(1-VLOOKUP($A195,[1]Hugst!$R$5:$W$9,MATCH(ROUNDUP((G$1)/10,0)*10,[1]Hugst!$R$4:$W$4,0))))</f>
        <v>0</v>
      </c>
      <c r="H195">
        <f ca="1">IF($C195-H$1&lt;År1,0,G194*(1-VLOOKUP($A195,[1]Hugst!$R$5:$W$9,MATCH(ROUNDUP((H$1)/10,0)*10,[1]Hugst!$R$4:$W$4,0))))</f>
        <v>0</v>
      </c>
      <c r="I195">
        <f ca="1">IF($C195-I$1&lt;År1,0,H194*(1-VLOOKUP($A195,[1]Hugst!$R$5:$W$9,MATCH(ROUNDUP((I$1)/10,0)*10,[1]Hugst!$R$4:$W$4,0))))</f>
        <v>0</v>
      </c>
      <c r="J195">
        <f ca="1">IF($C195-J$1&lt;År1,0,I194*(1-VLOOKUP($A195,[1]Hugst!$R$5:$W$9,MATCH(ROUNDUP((J$1)/10,0)*10,[1]Hugst!$R$4:$W$4,0))))</f>
        <v>0</v>
      </c>
      <c r="K195">
        <f ca="1">IF($C195-K$1&lt;År1,0,J194*(1-VLOOKUP($A195,[1]Hugst!$R$5:$W$9,MATCH(ROUNDUP((K$1)/10,0)*10,[1]Hugst!$R$4:$W$4,0))))</f>
        <v>0</v>
      </c>
      <c r="L195">
        <f ca="1">IF($C195-L$1&lt;År1,0,K194*(1-VLOOKUP($A195,[1]Hugst!$R$5:$W$9,MATCH(ROUNDUP((L$1)/10,0)*10,[1]Hugst!$R$4:$W$4,0))))</f>
        <v>0</v>
      </c>
      <c r="M195">
        <f ca="1">IF($C195-M$1&lt;År1,0,L194*(1-VLOOKUP($A195,[1]Hugst!$R$5:$W$9,MATCH(ROUNDUP((M$1)/10,0)*10,[1]Hugst!$R$4:$W$4,0))))</f>
        <v>0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0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>
        <f ca="1">IF($C196-G$1&lt;År1,0,F195*(1-VLOOKUP($A196,[1]Hugst!$R$5:$W$9,MATCH(ROUNDUP((G$1)/10,0)*10,[1]Hugst!$R$4:$W$4,0))))</f>
        <v>0</v>
      </c>
      <c r="H196">
        <f ca="1">IF($C196-H$1&lt;År1,0,G195*(1-VLOOKUP($A196,[1]Hugst!$R$5:$W$9,MATCH(ROUNDUP((H$1)/10,0)*10,[1]Hugst!$R$4:$W$4,0))))</f>
        <v>0</v>
      </c>
      <c r="I196">
        <f ca="1">IF($C196-I$1&lt;År1,0,H195*(1-VLOOKUP($A196,[1]Hugst!$R$5:$W$9,MATCH(ROUNDUP((I$1)/10,0)*10,[1]Hugst!$R$4:$W$4,0))))</f>
        <v>0</v>
      </c>
      <c r="J196">
        <f ca="1">IF($C196-J$1&lt;År1,0,I195*(1-VLOOKUP($A196,[1]Hugst!$R$5:$W$9,MATCH(ROUNDUP((J$1)/10,0)*10,[1]Hugst!$R$4:$W$4,0))))</f>
        <v>0</v>
      </c>
      <c r="K196">
        <f ca="1">IF($C196-K$1&lt;År1,0,J195*(1-VLOOKUP($A196,[1]Hugst!$R$5:$W$9,MATCH(ROUNDUP((K$1)/10,0)*10,[1]Hugst!$R$4:$W$4,0))))</f>
        <v>0</v>
      </c>
      <c r="L196">
        <f ca="1">IF($C196-L$1&lt;År1,0,K195*(1-VLOOKUP($A196,[1]Hugst!$R$5:$W$9,MATCH(ROUNDUP((L$1)/10,0)*10,[1]Hugst!$R$4:$W$4,0))))</f>
        <v>0</v>
      </c>
      <c r="M196">
        <f ca="1">IF($C196-M$1&lt;År1,0,L195*(1-VLOOKUP($A196,[1]Hugst!$R$5:$W$9,MATCH(ROUNDUP((M$1)/10,0)*10,[1]Hugst!$R$4:$W$4,0))))</f>
        <v>0</v>
      </c>
      <c r="N196">
        <f ca="1">IF($C196-N$1&lt;År1,0,M195*(1-VLOOKUP($A196,[1]Hugst!$R$5:$W$9,MATCH(ROUNDUP((N$1)/10,0)*10,[1]Hugst!$R$4:$W$4,0))))</f>
        <v>0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0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>
        <f ca="1">IF($C197-G$1&lt;År1,0,F196*(1-VLOOKUP($A197,[1]Hugst!$R$5:$W$9,MATCH(ROUNDUP((G$1)/10,0)*10,[1]Hugst!$R$4:$W$4,0))))</f>
        <v>0</v>
      </c>
      <c r="H197">
        <f ca="1">IF($C197-H$1&lt;År1,0,G196*(1-VLOOKUP($A197,[1]Hugst!$R$5:$W$9,MATCH(ROUNDUP((H$1)/10,0)*10,[1]Hugst!$R$4:$W$4,0))))</f>
        <v>0</v>
      </c>
      <c r="I197">
        <f ca="1">IF($C197-I$1&lt;År1,0,H196*(1-VLOOKUP($A197,[1]Hugst!$R$5:$W$9,MATCH(ROUNDUP((I$1)/10,0)*10,[1]Hugst!$R$4:$W$4,0))))</f>
        <v>0</v>
      </c>
      <c r="J197">
        <f ca="1">IF($C197-J$1&lt;År1,0,I196*(1-VLOOKUP($A197,[1]Hugst!$R$5:$W$9,MATCH(ROUNDUP((J$1)/10,0)*10,[1]Hugst!$R$4:$W$4,0))))</f>
        <v>0</v>
      </c>
      <c r="K197">
        <f ca="1">IF($C197-K$1&lt;År1,0,J196*(1-VLOOKUP($A197,[1]Hugst!$R$5:$W$9,MATCH(ROUNDUP((K$1)/10,0)*10,[1]Hugst!$R$4:$W$4,0))))</f>
        <v>0</v>
      </c>
      <c r="L197">
        <f ca="1">IF($C197-L$1&lt;År1,0,K196*(1-VLOOKUP($A197,[1]Hugst!$R$5:$W$9,MATCH(ROUNDUP((L$1)/10,0)*10,[1]Hugst!$R$4:$W$4,0))))</f>
        <v>0</v>
      </c>
      <c r="M197">
        <f ca="1">IF($C197-M$1&lt;År1,0,L196*(1-VLOOKUP($A197,[1]Hugst!$R$5:$W$9,MATCH(ROUNDUP((M$1)/10,0)*10,[1]Hugst!$R$4:$W$4,0))))</f>
        <v>0</v>
      </c>
      <c r="N197">
        <f ca="1">IF($C197-N$1&lt;År1,0,M196*(1-VLOOKUP($A197,[1]Hugst!$R$5:$W$9,MATCH(ROUNDUP((N$1)/10,0)*10,[1]Hugst!$R$4:$W$4,0))))</f>
        <v>0</v>
      </c>
      <c r="O197">
        <f ca="1">IF($C197-O$1&lt;År1,0,N196*(1-VLOOKUP($A197,[1]Hugst!$R$5:$W$9,MATCH(ROUNDUP((O$1)/10,0)*10,[1]Hugst!$R$4:$W$4,0))))</f>
        <v>0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0</v>
      </c>
      <c r="E198">
        <f t="shared" ca="1" si="4"/>
        <v>0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>
        <f ca="1">IF($C198-G$1&lt;År1,0,F197*(1-VLOOKUP($A198,[1]Hugst!$R$5:$W$9,MATCH(ROUNDUP((G$1)/10,0)*10,[1]Hugst!$R$4:$W$4,0))))</f>
        <v>0</v>
      </c>
      <c r="H198">
        <f ca="1">IF($C198-H$1&lt;År1,0,G197*(1-VLOOKUP($A198,[1]Hugst!$R$5:$W$9,MATCH(ROUNDUP((H$1)/10,0)*10,[1]Hugst!$R$4:$W$4,0))))</f>
        <v>0</v>
      </c>
      <c r="I198">
        <f ca="1">IF($C198-I$1&lt;År1,0,H197*(1-VLOOKUP($A198,[1]Hugst!$R$5:$W$9,MATCH(ROUNDUP((I$1)/10,0)*10,[1]Hugst!$R$4:$W$4,0))))</f>
        <v>0</v>
      </c>
      <c r="J198">
        <f ca="1">IF($C198-J$1&lt;År1,0,I197*(1-VLOOKUP($A198,[1]Hugst!$R$5:$W$9,MATCH(ROUNDUP((J$1)/10,0)*10,[1]Hugst!$R$4:$W$4,0))))</f>
        <v>0</v>
      </c>
      <c r="K198">
        <f ca="1">IF($C198-K$1&lt;År1,0,J197*(1-VLOOKUP($A198,[1]Hugst!$R$5:$W$9,MATCH(ROUNDUP((K$1)/10,0)*10,[1]Hugst!$R$4:$W$4,0))))</f>
        <v>0</v>
      </c>
      <c r="L198">
        <f ca="1">IF($C198-L$1&lt;År1,0,K197*(1-VLOOKUP($A198,[1]Hugst!$R$5:$W$9,MATCH(ROUNDUP((L$1)/10,0)*10,[1]Hugst!$R$4:$W$4,0))))</f>
        <v>0</v>
      </c>
      <c r="M198">
        <f ca="1">IF($C198-M$1&lt;År1,0,L197*(1-VLOOKUP($A198,[1]Hugst!$R$5:$W$9,MATCH(ROUNDUP((M$1)/10,0)*10,[1]Hugst!$R$4:$W$4,0))))</f>
        <v>0</v>
      </c>
      <c r="N198">
        <f ca="1">IF($C198-N$1&lt;År1,0,M197*(1-VLOOKUP($A198,[1]Hugst!$R$5:$W$9,MATCH(ROUNDUP((N$1)/10,0)*10,[1]Hugst!$R$4:$W$4,0))))</f>
        <v>0</v>
      </c>
      <c r="O198">
        <f ca="1">IF($C198-O$1&lt;År1,0,N197*(1-VLOOKUP($A198,[1]Hugst!$R$5:$W$9,MATCH(ROUNDUP((O$1)/10,0)*10,[1]Hugst!$R$4:$W$4,0))))</f>
        <v>0</v>
      </c>
      <c r="P198">
        <f ca="1">IF($C198-P$1&lt;År1,0,O197*(1-VLOOKUP($A198,[1]Hugst!$R$5:$W$9,MATCH(ROUNDUP((P$1)/10,0)*10,[1]Hugst!$R$4:$W$4,0))))</f>
        <v>0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0</v>
      </c>
      <c r="E199">
        <f t="shared" ca="1" si="4"/>
        <v>0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>
        <f ca="1">IF($C199-G$1&lt;År1,0,F198*(1-VLOOKUP($A199,[1]Hugst!$R$5:$W$9,MATCH(ROUNDUP((G$1)/10,0)*10,[1]Hugst!$R$4:$W$4,0))))</f>
        <v>0</v>
      </c>
      <c r="H199">
        <f ca="1">IF($C199-H$1&lt;År1,0,G198*(1-VLOOKUP($A199,[1]Hugst!$R$5:$W$9,MATCH(ROUNDUP((H$1)/10,0)*10,[1]Hugst!$R$4:$W$4,0))))</f>
        <v>0</v>
      </c>
      <c r="I199">
        <f ca="1">IF($C199-I$1&lt;År1,0,H198*(1-VLOOKUP($A199,[1]Hugst!$R$5:$W$9,MATCH(ROUNDUP((I$1)/10,0)*10,[1]Hugst!$R$4:$W$4,0))))</f>
        <v>0</v>
      </c>
      <c r="J199">
        <f ca="1">IF($C199-J$1&lt;År1,0,I198*(1-VLOOKUP($A199,[1]Hugst!$R$5:$W$9,MATCH(ROUNDUP((J$1)/10,0)*10,[1]Hugst!$R$4:$W$4,0))))</f>
        <v>0</v>
      </c>
      <c r="K199">
        <f ca="1">IF($C199-K$1&lt;År1,0,J198*(1-VLOOKUP($A199,[1]Hugst!$R$5:$W$9,MATCH(ROUNDUP((K$1)/10,0)*10,[1]Hugst!$R$4:$W$4,0))))</f>
        <v>0</v>
      </c>
      <c r="L199">
        <f ca="1">IF($C199-L$1&lt;År1,0,K198*(1-VLOOKUP($A199,[1]Hugst!$R$5:$W$9,MATCH(ROUNDUP((L$1)/10,0)*10,[1]Hugst!$R$4:$W$4,0))))</f>
        <v>0</v>
      </c>
      <c r="M199">
        <f ca="1">IF($C199-M$1&lt;År1,0,L198*(1-VLOOKUP($A199,[1]Hugst!$R$5:$W$9,MATCH(ROUNDUP((M$1)/10,0)*10,[1]Hugst!$R$4:$W$4,0))))</f>
        <v>0</v>
      </c>
      <c r="N199">
        <f ca="1">IF($C199-N$1&lt;År1,0,M198*(1-VLOOKUP($A199,[1]Hugst!$R$5:$W$9,MATCH(ROUNDUP((N$1)/10,0)*10,[1]Hugst!$R$4:$W$4,0))))</f>
        <v>0</v>
      </c>
      <c r="O199">
        <f ca="1">IF($C199-O$1&lt;År1,0,N198*(1-VLOOKUP($A199,[1]Hugst!$R$5:$W$9,MATCH(ROUNDUP((O$1)/10,0)*10,[1]Hugst!$R$4:$W$4,0))))</f>
        <v>0</v>
      </c>
      <c r="P199">
        <f ca="1">IF($C199-P$1&lt;År1,0,O198*(1-VLOOKUP($A199,[1]Hugst!$R$5:$W$9,MATCH(ROUNDUP((P$1)/10,0)*10,[1]Hugst!$R$4:$W$4,0))))</f>
        <v>0</v>
      </c>
      <c r="Q199">
        <f ca="1">IF($C199-Q$1&lt;År1,0,P198*(1-VLOOKUP($A199,[1]Hugst!$R$5:$W$9,MATCH(ROUNDUP((Q$1)/10,0)*10,[1]Hugst!$R$4:$W$4,0))))</f>
        <v>0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0</v>
      </c>
      <c r="E200">
        <f t="shared" ca="1" si="4"/>
        <v>0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>
        <f ca="1">IF($C200-G$1&lt;År1,0,F199*(1-VLOOKUP($A200,[1]Hugst!$R$5:$W$9,MATCH(ROUNDUP((G$1)/10,0)*10,[1]Hugst!$R$4:$W$4,0))))</f>
        <v>0</v>
      </c>
      <c r="H200">
        <f ca="1">IF($C200-H$1&lt;År1,0,G199*(1-VLOOKUP($A200,[1]Hugst!$R$5:$W$9,MATCH(ROUNDUP((H$1)/10,0)*10,[1]Hugst!$R$4:$W$4,0))))</f>
        <v>0</v>
      </c>
      <c r="I200">
        <f ca="1">IF($C200-I$1&lt;År1,0,H199*(1-VLOOKUP($A200,[1]Hugst!$R$5:$W$9,MATCH(ROUNDUP((I$1)/10,0)*10,[1]Hugst!$R$4:$W$4,0))))</f>
        <v>0</v>
      </c>
      <c r="J200">
        <f ca="1">IF($C200-J$1&lt;År1,0,I199*(1-VLOOKUP($A200,[1]Hugst!$R$5:$W$9,MATCH(ROUNDUP((J$1)/10,0)*10,[1]Hugst!$R$4:$W$4,0))))</f>
        <v>0</v>
      </c>
      <c r="K200">
        <f ca="1">IF($C200-K$1&lt;År1,0,J199*(1-VLOOKUP($A200,[1]Hugst!$R$5:$W$9,MATCH(ROUNDUP((K$1)/10,0)*10,[1]Hugst!$R$4:$W$4,0))))</f>
        <v>0</v>
      </c>
      <c r="L200">
        <f ca="1">IF($C200-L$1&lt;År1,0,K199*(1-VLOOKUP($A200,[1]Hugst!$R$5:$W$9,MATCH(ROUNDUP((L$1)/10,0)*10,[1]Hugst!$R$4:$W$4,0))))</f>
        <v>0</v>
      </c>
      <c r="M200">
        <f ca="1">IF($C200-M$1&lt;År1,0,L199*(1-VLOOKUP($A200,[1]Hugst!$R$5:$W$9,MATCH(ROUNDUP((M$1)/10,0)*10,[1]Hugst!$R$4:$W$4,0))))</f>
        <v>0</v>
      </c>
      <c r="N200">
        <f ca="1">IF($C200-N$1&lt;År1,0,M199*(1-VLOOKUP($A200,[1]Hugst!$R$5:$W$9,MATCH(ROUNDUP((N$1)/10,0)*10,[1]Hugst!$R$4:$W$4,0))))</f>
        <v>0</v>
      </c>
      <c r="O200">
        <f ca="1">IF($C200-O$1&lt;År1,0,N199*(1-VLOOKUP($A200,[1]Hugst!$R$5:$W$9,MATCH(ROUNDUP((O$1)/10,0)*10,[1]Hugst!$R$4:$W$4,0))))</f>
        <v>0</v>
      </c>
      <c r="P200">
        <f ca="1">IF($C200-P$1&lt;År1,0,O199*(1-VLOOKUP($A200,[1]Hugst!$R$5:$W$9,MATCH(ROUNDUP((P$1)/10,0)*10,[1]Hugst!$R$4:$W$4,0))))</f>
        <v>0</v>
      </c>
      <c r="Q200">
        <f ca="1">IF($C200-Q$1&lt;År1,0,P199*(1-VLOOKUP($A200,[1]Hugst!$R$5:$W$9,MATCH(ROUNDUP((Q$1)/10,0)*10,[1]Hugst!$R$4:$W$4,0))))</f>
        <v>0</v>
      </c>
      <c r="R200">
        <f ca="1">IF($C200-R$1&lt;År1,0,Q199*(1-VLOOKUP($A200,[1]Hugst!$R$5:$W$9,MATCH(ROUNDUP((R$1)/10,0)*10,[1]Hugst!$R$4:$W$4,0))))</f>
        <v>0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0</v>
      </c>
      <c r="E201">
        <f t="shared" ca="1" si="4"/>
        <v>0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>
        <f ca="1">IF($C201-G$1&lt;År1,0,F200*(1-VLOOKUP($A201,[1]Hugst!$R$5:$W$9,MATCH(ROUNDUP((G$1)/10,0)*10,[1]Hugst!$R$4:$W$4,0))))</f>
        <v>0</v>
      </c>
      <c r="H201">
        <f ca="1">IF($C201-H$1&lt;År1,0,G200*(1-VLOOKUP($A201,[1]Hugst!$R$5:$W$9,MATCH(ROUNDUP((H$1)/10,0)*10,[1]Hugst!$R$4:$W$4,0))))</f>
        <v>0</v>
      </c>
      <c r="I201">
        <f ca="1">IF($C201-I$1&lt;År1,0,H200*(1-VLOOKUP($A201,[1]Hugst!$R$5:$W$9,MATCH(ROUNDUP((I$1)/10,0)*10,[1]Hugst!$R$4:$W$4,0))))</f>
        <v>0</v>
      </c>
      <c r="J201">
        <f ca="1">IF($C201-J$1&lt;År1,0,I200*(1-VLOOKUP($A201,[1]Hugst!$R$5:$W$9,MATCH(ROUNDUP((J$1)/10,0)*10,[1]Hugst!$R$4:$W$4,0))))</f>
        <v>0</v>
      </c>
      <c r="K201">
        <f ca="1">IF($C201-K$1&lt;År1,0,J200*(1-VLOOKUP($A201,[1]Hugst!$R$5:$W$9,MATCH(ROUNDUP((K$1)/10,0)*10,[1]Hugst!$R$4:$W$4,0))))</f>
        <v>0</v>
      </c>
      <c r="L201">
        <f ca="1">IF($C201-L$1&lt;År1,0,K200*(1-VLOOKUP($A201,[1]Hugst!$R$5:$W$9,MATCH(ROUNDUP((L$1)/10,0)*10,[1]Hugst!$R$4:$W$4,0))))</f>
        <v>0</v>
      </c>
      <c r="M201">
        <f ca="1">IF($C201-M$1&lt;År1,0,L200*(1-VLOOKUP($A201,[1]Hugst!$R$5:$W$9,MATCH(ROUNDUP((M$1)/10,0)*10,[1]Hugst!$R$4:$W$4,0))))</f>
        <v>0</v>
      </c>
      <c r="N201">
        <f ca="1">IF($C201-N$1&lt;År1,0,M200*(1-VLOOKUP($A201,[1]Hugst!$R$5:$W$9,MATCH(ROUNDUP((N$1)/10,0)*10,[1]Hugst!$R$4:$W$4,0))))</f>
        <v>0</v>
      </c>
      <c r="O201">
        <f ca="1">IF($C201-O$1&lt;År1,0,N200*(1-VLOOKUP($A201,[1]Hugst!$R$5:$W$9,MATCH(ROUNDUP((O$1)/10,0)*10,[1]Hugst!$R$4:$W$4,0))))</f>
        <v>0</v>
      </c>
      <c r="P201">
        <f ca="1">IF($C201-P$1&lt;År1,0,O200*(1-VLOOKUP($A201,[1]Hugst!$R$5:$W$9,MATCH(ROUNDUP((P$1)/10,0)*10,[1]Hugst!$R$4:$W$4,0))))</f>
        <v>0</v>
      </c>
      <c r="Q201">
        <f ca="1">IF($C201-Q$1&lt;År1,0,P200*(1-VLOOKUP($A201,[1]Hugst!$R$5:$W$9,MATCH(ROUNDUP((Q$1)/10,0)*10,[1]Hugst!$R$4:$W$4,0))))</f>
        <v>0</v>
      </c>
      <c r="R201">
        <f ca="1">IF($C201-R$1&lt;År1,0,Q200*(1-VLOOKUP($A201,[1]Hugst!$R$5:$W$9,MATCH(ROUNDUP((R$1)/10,0)*10,[1]Hugst!$R$4:$W$4,0))))</f>
        <v>0</v>
      </c>
      <c r="S201">
        <f ca="1">IF($C201-S$1&lt;År1,0,R200*(1-VLOOKUP($A201,[1]Hugst!$R$5:$W$9,MATCH(ROUNDUP((S$1)/10,0)*10,[1]Hugst!$R$4:$W$4,0))))</f>
        <v>0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0</v>
      </c>
      <c r="E202">
        <f t="shared" ca="1" si="4"/>
        <v>0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>
        <f ca="1">IF($C202-G$1&lt;År1,0,F201*(1-VLOOKUP($A202,[1]Hugst!$R$5:$W$9,MATCH(ROUNDUP((G$1)/10,0)*10,[1]Hugst!$R$4:$W$4,0))))</f>
        <v>0</v>
      </c>
      <c r="H202">
        <f ca="1">IF($C202-H$1&lt;År1,0,G201*(1-VLOOKUP($A202,[1]Hugst!$R$5:$W$9,MATCH(ROUNDUP((H$1)/10,0)*10,[1]Hugst!$R$4:$W$4,0))))</f>
        <v>0</v>
      </c>
      <c r="I202">
        <f ca="1">IF($C202-I$1&lt;År1,0,H201*(1-VLOOKUP($A202,[1]Hugst!$R$5:$W$9,MATCH(ROUNDUP((I$1)/10,0)*10,[1]Hugst!$R$4:$W$4,0))))</f>
        <v>0</v>
      </c>
      <c r="J202">
        <f ca="1">IF($C202-J$1&lt;År1,0,I201*(1-VLOOKUP($A202,[1]Hugst!$R$5:$W$9,MATCH(ROUNDUP((J$1)/10,0)*10,[1]Hugst!$R$4:$W$4,0))))</f>
        <v>0</v>
      </c>
      <c r="K202">
        <f ca="1">IF($C202-K$1&lt;År1,0,J201*(1-VLOOKUP($A202,[1]Hugst!$R$5:$W$9,MATCH(ROUNDUP((K$1)/10,0)*10,[1]Hugst!$R$4:$W$4,0))))</f>
        <v>0</v>
      </c>
      <c r="L202">
        <f ca="1">IF($C202-L$1&lt;År1,0,K201*(1-VLOOKUP($A202,[1]Hugst!$R$5:$W$9,MATCH(ROUNDUP((L$1)/10,0)*10,[1]Hugst!$R$4:$W$4,0))))</f>
        <v>0</v>
      </c>
      <c r="M202">
        <f ca="1">IF($C202-M$1&lt;År1,0,L201*(1-VLOOKUP($A202,[1]Hugst!$R$5:$W$9,MATCH(ROUNDUP((M$1)/10,0)*10,[1]Hugst!$R$4:$W$4,0))))</f>
        <v>0</v>
      </c>
      <c r="N202">
        <f ca="1">IF($C202-N$1&lt;År1,0,M201*(1-VLOOKUP($A202,[1]Hugst!$R$5:$W$9,MATCH(ROUNDUP((N$1)/10,0)*10,[1]Hugst!$R$4:$W$4,0))))</f>
        <v>0</v>
      </c>
      <c r="O202">
        <f ca="1">IF($C202-O$1&lt;År1,0,N201*(1-VLOOKUP($A202,[1]Hugst!$R$5:$W$9,MATCH(ROUNDUP((O$1)/10,0)*10,[1]Hugst!$R$4:$W$4,0))))</f>
        <v>0</v>
      </c>
      <c r="P202">
        <f ca="1">IF($C202-P$1&lt;År1,0,O201*(1-VLOOKUP($A202,[1]Hugst!$R$5:$W$9,MATCH(ROUNDUP((P$1)/10,0)*10,[1]Hugst!$R$4:$W$4,0))))</f>
        <v>0</v>
      </c>
      <c r="Q202">
        <f ca="1">IF($C202-Q$1&lt;År1,0,P201*(1-VLOOKUP($A202,[1]Hugst!$R$5:$W$9,MATCH(ROUNDUP((Q$1)/10,0)*10,[1]Hugst!$R$4:$W$4,0))))</f>
        <v>0</v>
      </c>
      <c r="R202">
        <f ca="1">IF($C202-R$1&lt;År1,0,Q201*(1-VLOOKUP($A202,[1]Hugst!$R$5:$W$9,MATCH(ROUNDUP((R$1)/10,0)*10,[1]Hugst!$R$4:$W$4,0))))</f>
        <v>0</v>
      </c>
      <c r="S202">
        <f ca="1">IF($C202-S$1&lt;År1,0,R201*(1-VLOOKUP($A202,[1]Hugst!$R$5:$W$9,MATCH(ROUNDUP((S$1)/10,0)*10,[1]Hugst!$R$4:$W$4,0))))</f>
        <v>0</v>
      </c>
      <c r="T202">
        <f ca="1">IF($C202-T$1&lt;År1,0,S201*(1-VLOOKUP($A202,[1]Hugst!$R$5:$W$9,MATCH(ROUNDUP((T$1)/10,0)*10,[1]Hugst!$R$4:$W$4,0))))</f>
        <v>0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0</v>
      </c>
      <c r="E203">
        <f t="shared" ca="1" si="4"/>
        <v>0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>
        <f ca="1">IF($C203-G$1&lt;År1,0,F202*(1-VLOOKUP($A203,[1]Hugst!$R$5:$W$9,MATCH(ROUNDUP((G$1)/10,0)*10,[1]Hugst!$R$4:$W$4,0))))</f>
        <v>0</v>
      </c>
      <c r="H203">
        <f ca="1">IF($C203-H$1&lt;År1,0,G202*(1-VLOOKUP($A203,[1]Hugst!$R$5:$W$9,MATCH(ROUNDUP((H$1)/10,0)*10,[1]Hugst!$R$4:$W$4,0))))</f>
        <v>0</v>
      </c>
      <c r="I203">
        <f ca="1">IF($C203-I$1&lt;År1,0,H202*(1-VLOOKUP($A203,[1]Hugst!$R$5:$W$9,MATCH(ROUNDUP((I$1)/10,0)*10,[1]Hugst!$R$4:$W$4,0))))</f>
        <v>0</v>
      </c>
      <c r="J203">
        <f ca="1">IF($C203-J$1&lt;År1,0,I202*(1-VLOOKUP($A203,[1]Hugst!$R$5:$W$9,MATCH(ROUNDUP((J$1)/10,0)*10,[1]Hugst!$R$4:$W$4,0))))</f>
        <v>0</v>
      </c>
      <c r="K203">
        <f ca="1">IF($C203-K$1&lt;År1,0,J202*(1-VLOOKUP($A203,[1]Hugst!$R$5:$W$9,MATCH(ROUNDUP((K$1)/10,0)*10,[1]Hugst!$R$4:$W$4,0))))</f>
        <v>0</v>
      </c>
      <c r="L203">
        <f ca="1">IF($C203-L$1&lt;År1,0,K202*(1-VLOOKUP($A203,[1]Hugst!$R$5:$W$9,MATCH(ROUNDUP((L$1)/10,0)*10,[1]Hugst!$R$4:$W$4,0))))</f>
        <v>0</v>
      </c>
      <c r="M203">
        <f ca="1">IF($C203-M$1&lt;År1,0,L202*(1-VLOOKUP($A203,[1]Hugst!$R$5:$W$9,MATCH(ROUNDUP((M$1)/10,0)*10,[1]Hugst!$R$4:$W$4,0))))</f>
        <v>0</v>
      </c>
      <c r="N203">
        <f ca="1">IF($C203-N$1&lt;År1,0,M202*(1-VLOOKUP($A203,[1]Hugst!$R$5:$W$9,MATCH(ROUNDUP((N$1)/10,0)*10,[1]Hugst!$R$4:$W$4,0))))</f>
        <v>0</v>
      </c>
      <c r="O203">
        <f ca="1">IF($C203-O$1&lt;År1,0,N202*(1-VLOOKUP($A203,[1]Hugst!$R$5:$W$9,MATCH(ROUNDUP((O$1)/10,0)*10,[1]Hugst!$R$4:$W$4,0))))</f>
        <v>0</v>
      </c>
      <c r="P203">
        <f ca="1">IF($C203-P$1&lt;År1,0,O202*(1-VLOOKUP($A203,[1]Hugst!$R$5:$W$9,MATCH(ROUNDUP((P$1)/10,0)*10,[1]Hugst!$R$4:$W$4,0))))</f>
        <v>0</v>
      </c>
      <c r="Q203">
        <f ca="1">IF($C203-Q$1&lt;År1,0,P202*(1-VLOOKUP($A203,[1]Hugst!$R$5:$W$9,MATCH(ROUNDUP((Q$1)/10,0)*10,[1]Hugst!$R$4:$W$4,0))))</f>
        <v>0</v>
      </c>
      <c r="R203">
        <f ca="1">IF($C203-R$1&lt;År1,0,Q202*(1-VLOOKUP($A203,[1]Hugst!$R$5:$W$9,MATCH(ROUNDUP((R$1)/10,0)*10,[1]Hugst!$R$4:$W$4,0))))</f>
        <v>0</v>
      </c>
      <c r="S203">
        <f ca="1">IF($C203-S$1&lt;År1,0,R202*(1-VLOOKUP($A203,[1]Hugst!$R$5:$W$9,MATCH(ROUNDUP((S$1)/10,0)*10,[1]Hugst!$R$4:$W$4,0))))</f>
        <v>0</v>
      </c>
      <c r="T203">
        <f ca="1">IF($C203-T$1&lt;År1,0,S202*(1-VLOOKUP($A203,[1]Hugst!$R$5:$W$9,MATCH(ROUNDUP((T$1)/10,0)*10,[1]Hugst!$R$4:$W$4,0))))</f>
        <v>0</v>
      </c>
      <c r="U203">
        <f ca="1">IF($C203-U$1&lt;År1,0,T202*(1-VLOOKUP($A203,[1]Hugst!$R$5:$W$9,MATCH(ROUNDUP((U$1)/10,0)*10,[1]Hugst!$R$4:$W$4,0))))</f>
        <v>0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0</v>
      </c>
      <c r="E204">
        <f t="shared" ca="1" si="4"/>
        <v>0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>
        <f ca="1">IF($C204-G$1&lt;År1,0,F203*(1-VLOOKUP($A204,[1]Hugst!$R$5:$W$9,MATCH(ROUNDUP((G$1)/10,0)*10,[1]Hugst!$R$4:$W$4,0))))</f>
        <v>0</v>
      </c>
      <c r="H204">
        <f ca="1">IF($C204-H$1&lt;År1,0,G203*(1-VLOOKUP($A204,[1]Hugst!$R$5:$W$9,MATCH(ROUNDUP((H$1)/10,0)*10,[1]Hugst!$R$4:$W$4,0))))</f>
        <v>0</v>
      </c>
      <c r="I204">
        <f ca="1">IF($C204-I$1&lt;År1,0,H203*(1-VLOOKUP($A204,[1]Hugst!$R$5:$W$9,MATCH(ROUNDUP((I$1)/10,0)*10,[1]Hugst!$R$4:$W$4,0))))</f>
        <v>0</v>
      </c>
      <c r="J204">
        <f ca="1">IF($C204-J$1&lt;År1,0,I203*(1-VLOOKUP($A204,[1]Hugst!$R$5:$W$9,MATCH(ROUNDUP((J$1)/10,0)*10,[1]Hugst!$R$4:$W$4,0))))</f>
        <v>0</v>
      </c>
      <c r="K204">
        <f ca="1">IF($C204-K$1&lt;År1,0,J203*(1-VLOOKUP($A204,[1]Hugst!$R$5:$W$9,MATCH(ROUNDUP((K$1)/10,0)*10,[1]Hugst!$R$4:$W$4,0))))</f>
        <v>0</v>
      </c>
      <c r="L204">
        <f ca="1">IF($C204-L$1&lt;År1,0,K203*(1-VLOOKUP($A204,[1]Hugst!$R$5:$W$9,MATCH(ROUNDUP((L$1)/10,0)*10,[1]Hugst!$R$4:$W$4,0))))</f>
        <v>0</v>
      </c>
      <c r="M204">
        <f ca="1">IF($C204-M$1&lt;År1,0,L203*(1-VLOOKUP($A204,[1]Hugst!$R$5:$W$9,MATCH(ROUNDUP((M$1)/10,0)*10,[1]Hugst!$R$4:$W$4,0))))</f>
        <v>0</v>
      </c>
      <c r="N204">
        <f ca="1">IF($C204-N$1&lt;År1,0,M203*(1-VLOOKUP($A204,[1]Hugst!$R$5:$W$9,MATCH(ROUNDUP((N$1)/10,0)*10,[1]Hugst!$R$4:$W$4,0))))</f>
        <v>0</v>
      </c>
      <c r="O204">
        <f ca="1">IF($C204-O$1&lt;År1,0,N203*(1-VLOOKUP($A204,[1]Hugst!$R$5:$W$9,MATCH(ROUNDUP((O$1)/10,0)*10,[1]Hugst!$R$4:$W$4,0))))</f>
        <v>0</v>
      </c>
      <c r="P204">
        <f ca="1">IF($C204-P$1&lt;År1,0,O203*(1-VLOOKUP($A204,[1]Hugst!$R$5:$W$9,MATCH(ROUNDUP((P$1)/10,0)*10,[1]Hugst!$R$4:$W$4,0))))</f>
        <v>0</v>
      </c>
      <c r="Q204">
        <f ca="1">IF($C204-Q$1&lt;År1,0,P203*(1-VLOOKUP($A204,[1]Hugst!$R$5:$W$9,MATCH(ROUNDUP((Q$1)/10,0)*10,[1]Hugst!$R$4:$W$4,0))))</f>
        <v>0</v>
      </c>
      <c r="R204">
        <f ca="1">IF($C204-R$1&lt;År1,0,Q203*(1-VLOOKUP($A204,[1]Hugst!$R$5:$W$9,MATCH(ROUNDUP((R$1)/10,0)*10,[1]Hugst!$R$4:$W$4,0))))</f>
        <v>0</v>
      </c>
      <c r="S204">
        <f ca="1">IF($C204-S$1&lt;År1,0,R203*(1-VLOOKUP($A204,[1]Hugst!$R$5:$W$9,MATCH(ROUNDUP((S$1)/10,0)*10,[1]Hugst!$R$4:$W$4,0))))</f>
        <v>0</v>
      </c>
      <c r="T204">
        <f ca="1">IF($C204-T$1&lt;År1,0,S203*(1-VLOOKUP($A204,[1]Hugst!$R$5:$W$9,MATCH(ROUNDUP((T$1)/10,0)*10,[1]Hugst!$R$4:$W$4,0))))</f>
        <v>0</v>
      </c>
      <c r="U204">
        <f ca="1">IF($C204-U$1&lt;År1,0,T203*(1-VLOOKUP($A204,[1]Hugst!$R$5:$W$9,MATCH(ROUNDUP((U$1)/10,0)*10,[1]Hugst!$R$4:$W$4,0))))</f>
        <v>0</v>
      </c>
      <c r="V204">
        <f ca="1">IF($C204-V$1&lt;År1,0,U203*(1-VLOOKUP($A204,[1]Hugst!$R$5:$W$9,MATCH(ROUNDUP((V$1)/10,0)*10,[1]Hugst!$R$4:$W$4,0))))</f>
        <v>0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0</v>
      </c>
      <c r="E205">
        <f t="shared" ca="1" si="4"/>
        <v>0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>
        <f ca="1">IF($C205-G$1&lt;År1,0,F204*(1-VLOOKUP($A205,[1]Hugst!$R$5:$W$9,MATCH(ROUNDUP((G$1)/10,0)*10,[1]Hugst!$R$4:$W$4,0))))</f>
        <v>0</v>
      </c>
      <c r="H205">
        <f ca="1">IF($C205-H$1&lt;År1,0,G204*(1-VLOOKUP($A205,[1]Hugst!$R$5:$W$9,MATCH(ROUNDUP((H$1)/10,0)*10,[1]Hugst!$R$4:$W$4,0))))</f>
        <v>0</v>
      </c>
      <c r="I205">
        <f ca="1">IF($C205-I$1&lt;År1,0,H204*(1-VLOOKUP($A205,[1]Hugst!$R$5:$W$9,MATCH(ROUNDUP((I$1)/10,0)*10,[1]Hugst!$R$4:$W$4,0))))</f>
        <v>0</v>
      </c>
      <c r="J205">
        <f ca="1">IF($C205-J$1&lt;År1,0,I204*(1-VLOOKUP($A205,[1]Hugst!$R$5:$W$9,MATCH(ROUNDUP((J$1)/10,0)*10,[1]Hugst!$R$4:$W$4,0))))</f>
        <v>0</v>
      </c>
      <c r="K205">
        <f ca="1">IF($C205-K$1&lt;År1,0,J204*(1-VLOOKUP($A205,[1]Hugst!$R$5:$W$9,MATCH(ROUNDUP((K$1)/10,0)*10,[1]Hugst!$R$4:$W$4,0))))</f>
        <v>0</v>
      </c>
      <c r="L205">
        <f ca="1">IF($C205-L$1&lt;År1,0,K204*(1-VLOOKUP($A205,[1]Hugst!$R$5:$W$9,MATCH(ROUNDUP((L$1)/10,0)*10,[1]Hugst!$R$4:$W$4,0))))</f>
        <v>0</v>
      </c>
      <c r="M205">
        <f ca="1">IF($C205-M$1&lt;År1,0,L204*(1-VLOOKUP($A205,[1]Hugst!$R$5:$W$9,MATCH(ROUNDUP((M$1)/10,0)*10,[1]Hugst!$R$4:$W$4,0))))</f>
        <v>0</v>
      </c>
      <c r="N205">
        <f ca="1">IF($C205-N$1&lt;År1,0,M204*(1-VLOOKUP($A205,[1]Hugst!$R$5:$W$9,MATCH(ROUNDUP((N$1)/10,0)*10,[1]Hugst!$R$4:$W$4,0))))</f>
        <v>0</v>
      </c>
      <c r="O205">
        <f ca="1">IF($C205-O$1&lt;År1,0,N204*(1-VLOOKUP($A205,[1]Hugst!$R$5:$W$9,MATCH(ROUNDUP((O$1)/10,0)*10,[1]Hugst!$R$4:$W$4,0))))</f>
        <v>0</v>
      </c>
      <c r="P205">
        <f ca="1">IF($C205-P$1&lt;År1,0,O204*(1-VLOOKUP($A205,[1]Hugst!$R$5:$W$9,MATCH(ROUNDUP((P$1)/10,0)*10,[1]Hugst!$R$4:$W$4,0))))</f>
        <v>0</v>
      </c>
      <c r="Q205">
        <f ca="1">IF($C205-Q$1&lt;År1,0,P204*(1-VLOOKUP($A205,[1]Hugst!$R$5:$W$9,MATCH(ROUNDUP((Q$1)/10,0)*10,[1]Hugst!$R$4:$W$4,0))))</f>
        <v>0</v>
      </c>
      <c r="R205">
        <f ca="1">IF($C205-R$1&lt;År1,0,Q204*(1-VLOOKUP($A205,[1]Hugst!$R$5:$W$9,MATCH(ROUNDUP((R$1)/10,0)*10,[1]Hugst!$R$4:$W$4,0))))</f>
        <v>0</v>
      </c>
      <c r="S205">
        <f ca="1">IF($C205-S$1&lt;År1,0,R204*(1-VLOOKUP($A205,[1]Hugst!$R$5:$W$9,MATCH(ROUNDUP((S$1)/10,0)*10,[1]Hugst!$R$4:$W$4,0))))</f>
        <v>0</v>
      </c>
      <c r="T205">
        <f ca="1">IF($C205-T$1&lt;År1,0,S204*(1-VLOOKUP($A205,[1]Hugst!$R$5:$W$9,MATCH(ROUNDUP((T$1)/10,0)*10,[1]Hugst!$R$4:$W$4,0))))</f>
        <v>0</v>
      </c>
      <c r="U205">
        <f ca="1">IF($C205-U$1&lt;År1,0,T204*(1-VLOOKUP($A205,[1]Hugst!$R$5:$W$9,MATCH(ROUNDUP((U$1)/10,0)*10,[1]Hugst!$R$4:$W$4,0))))</f>
        <v>0</v>
      </c>
      <c r="V205">
        <f ca="1">IF($C205-V$1&lt;År1,0,U204*(1-VLOOKUP($A205,[1]Hugst!$R$5:$W$9,MATCH(ROUNDUP((V$1)/10,0)*10,[1]Hugst!$R$4:$W$4,0))))</f>
        <v>0</v>
      </c>
      <c r="W205">
        <f ca="1">IF($C205-W$1&lt;År1,0,V204*(1-VLOOKUP($A205,[1]Hugst!$R$5:$W$9,MATCH(ROUNDUP((W$1)/10,0)*10,[1]Hugst!$R$4:$W$4,0))))</f>
        <v>0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0</v>
      </c>
      <c r="E206">
        <f t="shared" ca="1" si="4"/>
        <v>0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>
        <f ca="1">IF($C206-G$1&lt;År1,0,F205*(1-VLOOKUP($A206,[1]Hugst!$R$5:$W$9,MATCH(ROUNDUP((G$1)/10,0)*10,[1]Hugst!$R$4:$W$4,0))))</f>
        <v>0</v>
      </c>
      <c r="H206">
        <f ca="1">IF($C206-H$1&lt;År1,0,G205*(1-VLOOKUP($A206,[1]Hugst!$R$5:$W$9,MATCH(ROUNDUP((H$1)/10,0)*10,[1]Hugst!$R$4:$W$4,0))))</f>
        <v>0</v>
      </c>
      <c r="I206">
        <f ca="1">IF($C206-I$1&lt;År1,0,H205*(1-VLOOKUP($A206,[1]Hugst!$R$5:$W$9,MATCH(ROUNDUP((I$1)/10,0)*10,[1]Hugst!$R$4:$W$4,0))))</f>
        <v>0</v>
      </c>
      <c r="J206">
        <f ca="1">IF($C206-J$1&lt;År1,0,I205*(1-VLOOKUP($A206,[1]Hugst!$R$5:$W$9,MATCH(ROUNDUP((J$1)/10,0)*10,[1]Hugst!$R$4:$W$4,0))))</f>
        <v>0</v>
      </c>
      <c r="K206">
        <f ca="1">IF($C206-K$1&lt;År1,0,J205*(1-VLOOKUP($A206,[1]Hugst!$R$5:$W$9,MATCH(ROUNDUP((K$1)/10,0)*10,[1]Hugst!$R$4:$W$4,0))))</f>
        <v>0</v>
      </c>
      <c r="L206">
        <f ca="1">IF($C206-L$1&lt;År1,0,K205*(1-VLOOKUP($A206,[1]Hugst!$R$5:$W$9,MATCH(ROUNDUP((L$1)/10,0)*10,[1]Hugst!$R$4:$W$4,0))))</f>
        <v>0</v>
      </c>
      <c r="M206">
        <f ca="1">IF($C206-M$1&lt;År1,0,L205*(1-VLOOKUP($A206,[1]Hugst!$R$5:$W$9,MATCH(ROUNDUP((M$1)/10,0)*10,[1]Hugst!$R$4:$W$4,0))))</f>
        <v>0</v>
      </c>
      <c r="N206">
        <f ca="1">IF($C206-N$1&lt;År1,0,M205*(1-VLOOKUP($A206,[1]Hugst!$R$5:$W$9,MATCH(ROUNDUP((N$1)/10,0)*10,[1]Hugst!$R$4:$W$4,0))))</f>
        <v>0</v>
      </c>
      <c r="O206">
        <f ca="1">IF($C206-O$1&lt;År1,0,N205*(1-VLOOKUP($A206,[1]Hugst!$R$5:$W$9,MATCH(ROUNDUP((O$1)/10,0)*10,[1]Hugst!$R$4:$W$4,0))))</f>
        <v>0</v>
      </c>
      <c r="P206">
        <f ca="1">IF($C206-P$1&lt;År1,0,O205*(1-VLOOKUP($A206,[1]Hugst!$R$5:$W$9,MATCH(ROUNDUP((P$1)/10,0)*10,[1]Hugst!$R$4:$W$4,0))))</f>
        <v>0</v>
      </c>
      <c r="Q206">
        <f ca="1">IF($C206-Q$1&lt;År1,0,P205*(1-VLOOKUP($A206,[1]Hugst!$R$5:$W$9,MATCH(ROUNDUP((Q$1)/10,0)*10,[1]Hugst!$R$4:$W$4,0))))</f>
        <v>0</v>
      </c>
      <c r="R206">
        <f ca="1">IF($C206-R$1&lt;År1,0,Q205*(1-VLOOKUP($A206,[1]Hugst!$R$5:$W$9,MATCH(ROUNDUP((R$1)/10,0)*10,[1]Hugst!$R$4:$W$4,0))))</f>
        <v>0</v>
      </c>
      <c r="S206">
        <f ca="1">IF($C206-S$1&lt;År1,0,R205*(1-VLOOKUP($A206,[1]Hugst!$R$5:$W$9,MATCH(ROUNDUP((S$1)/10,0)*10,[1]Hugst!$R$4:$W$4,0))))</f>
        <v>0</v>
      </c>
      <c r="T206">
        <f ca="1">IF($C206-T$1&lt;År1,0,S205*(1-VLOOKUP($A206,[1]Hugst!$R$5:$W$9,MATCH(ROUNDUP((T$1)/10,0)*10,[1]Hugst!$R$4:$W$4,0))))</f>
        <v>0</v>
      </c>
      <c r="U206">
        <f ca="1">IF($C206-U$1&lt;År1,0,T205*(1-VLOOKUP($A206,[1]Hugst!$R$5:$W$9,MATCH(ROUNDUP((U$1)/10,0)*10,[1]Hugst!$R$4:$W$4,0))))</f>
        <v>0</v>
      </c>
      <c r="V206">
        <f ca="1">IF($C206-V$1&lt;År1,0,U205*(1-VLOOKUP($A206,[1]Hugst!$R$5:$W$9,MATCH(ROUNDUP((V$1)/10,0)*10,[1]Hugst!$R$4:$W$4,0))))</f>
        <v>0</v>
      </c>
      <c r="W206">
        <f ca="1">IF($C206-W$1&lt;År1,0,V205*(1-VLOOKUP($A206,[1]Hugst!$R$5:$W$9,MATCH(ROUNDUP((W$1)/10,0)*10,[1]Hugst!$R$4:$W$4,0))))</f>
        <v>0</v>
      </c>
      <c r="X206">
        <f ca="1">IF($C206-X$1&lt;År1,0,W205*(1-VLOOKUP($A206,[1]Hugst!$R$5:$W$9,MATCH(ROUNDUP((X$1)/10,0)*10,[1]Hugst!$R$4:$W$4,0))))</f>
        <v>0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0</v>
      </c>
      <c r="E207">
        <f t="shared" ca="1" si="4"/>
        <v>0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>
        <f ca="1">IF($C207-G$1&lt;År1,0,F206*(1-VLOOKUP($A207,[1]Hugst!$R$5:$W$9,MATCH(ROUNDUP((G$1)/10,0)*10,[1]Hugst!$R$4:$W$4,0))))</f>
        <v>0</v>
      </c>
      <c r="H207">
        <f ca="1">IF($C207-H$1&lt;År1,0,G206*(1-VLOOKUP($A207,[1]Hugst!$R$5:$W$9,MATCH(ROUNDUP((H$1)/10,0)*10,[1]Hugst!$R$4:$W$4,0))))</f>
        <v>0</v>
      </c>
      <c r="I207">
        <f ca="1">IF($C207-I$1&lt;År1,0,H206*(1-VLOOKUP($A207,[1]Hugst!$R$5:$W$9,MATCH(ROUNDUP((I$1)/10,0)*10,[1]Hugst!$R$4:$W$4,0))))</f>
        <v>0</v>
      </c>
      <c r="J207">
        <f ca="1">IF($C207-J$1&lt;År1,0,I206*(1-VLOOKUP($A207,[1]Hugst!$R$5:$W$9,MATCH(ROUNDUP((J$1)/10,0)*10,[1]Hugst!$R$4:$W$4,0))))</f>
        <v>0</v>
      </c>
      <c r="K207">
        <f ca="1">IF($C207-K$1&lt;År1,0,J206*(1-VLOOKUP($A207,[1]Hugst!$R$5:$W$9,MATCH(ROUNDUP((K$1)/10,0)*10,[1]Hugst!$R$4:$W$4,0))))</f>
        <v>0</v>
      </c>
      <c r="L207">
        <f ca="1">IF($C207-L$1&lt;År1,0,K206*(1-VLOOKUP($A207,[1]Hugst!$R$5:$W$9,MATCH(ROUNDUP((L$1)/10,0)*10,[1]Hugst!$R$4:$W$4,0))))</f>
        <v>0</v>
      </c>
      <c r="M207">
        <f ca="1">IF($C207-M$1&lt;År1,0,L206*(1-VLOOKUP($A207,[1]Hugst!$R$5:$W$9,MATCH(ROUNDUP((M$1)/10,0)*10,[1]Hugst!$R$4:$W$4,0))))</f>
        <v>0</v>
      </c>
      <c r="N207">
        <f ca="1">IF($C207-N$1&lt;År1,0,M206*(1-VLOOKUP($A207,[1]Hugst!$R$5:$W$9,MATCH(ROUNDUP((N$1)/10,0)*10,[1]Hugst!$R$4:$W$4,0))))</f>
        <v>0</v>
      </c>
      <c r="O207">
        <f ca="1">IF($C207-O$1&lt;År1,0,N206*(1-VLOOKUP($A207,[1]Hugst!$R$5:$W$9,MATCH(ROUNDUP((O$1)/10,0)*10,[1]Hugst!$R$4:$W$4,0))))</f>
        <v>0</v>
      </c>
      <c r="P207">
        <f ca="1">IF($C207-P$1&lt;År1,0,O206*(1-VLOOKUP($A207,[1]Hugst!$R$5:$W$9,MATCH(ROUNDUP((P$1)/10,0)*10,[1]Hugst!$R$4:$W$4,0))))</f>
        <v>0</v>
      </c>
      <c r="Q207">
        <f ca="1">IF($C207-Q$1&lt;År1,0,P206*(1-VLOOKUP($A207,[1]Hugst!$R$5:$W$9,MATCH(ROUNDUP((Q$1)/10,0)*10,[1]Hugst!$R$4:$W$4,0))))</f>
        <v>0</v>
      </c>
      <c r="R207">
        <f ca="1">IF($C207-R$1&lt;År1,0,Q206*(1-VLOOKUP($A207,[1]Hugst!$R$5:$W$9,MATCH(ROUNDUP((R$1)/10,0)*10,[1]Hugst!$R$4:$W$4,0))))</f>
        <v>0</v>
      </c>
      <c r="S207">
        <f ca="1">IF($C207-S$1&lt;År1,0,R206*(1-VLOOKUP($A207,[1]Hugst!$R$5:$W$9,MATCH(ROUNDUP((S$1)/10,0)*10,[1]Hugst!$R$4:$W$4,0))))</f>
        <v>0</v>
      </c>
      <c r="T207">
        <f ca="1">IF($C207-T$1&lt;År1,0,S206*(1-VLOOKUP($A207,[1]Hugst!$R$5:$W$9,MATCH(ROUNDUP((T$1)/10,0)*10,[1]Hugst!$R$4:$W$4,0))))</f>
        <v>0</v>
      </c>
      <c r="U207">
        <f ca="1">IF($C207-U$1&lt;År1,0,T206*(1-VLOOKUP($A207,[1]Hugst!$R$5:$W$9,MATCH(ROUNDUP((U$1)/10,0)*10,[1]Hugst!$R$4:$W$4,0))))</f>
        <v>0</v>
      </c>
      <c r="V207">
        <f ca="1">IF($C207-V$1&lt;År1,0,U206*(1-VLOOKUP($A207,[1]Hugst!$R$5:$W$9,MATCH(ROUNDUP((V$1)/10,0)*10,[1]Hugst!$R$4:$W$4,0))))</f>
        <v>0</v>
      </c>
      <c r="W207">
        <f ca="1">IF($C207-W$1&lt;År1,0,V206*(1-VLOOKUP($A207,[1]Hugst!$R$5:$W$9,MATCH(ROUNDUP((W$1)/10,0)*10,[1]Hugst!$R$4:$W$4,0))))</f>
        <v>0</v>
      </c>
      <c r="X207">
        <f ca="1">IF($C207-X$1&lt;År1,0,W206*(1-VLOOKUP($A207,[1]Hugst!$R$5:$W$9,MATCH(ROUNDUP((X$1)/10,0)*10,[1]Hugst!$R$4:$W$4,0))))</f>
        <v>0</v>
      </c>
      <c r="Y207">
        <f ca="1">IF($C207-Y$1&lt;År1,0,X206*(1-VLOOKUP($A207,[1]Hugst!$R$5:$W$9,MATCH(ROUNDUP((Y$1)/10,0)*10,[1]Hugst!$R$4:$W$4,0))))</f>
        <v>0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0</v>
      </c>
      <c r="E208">
        <f t="shared" ca="1" si="4"/>
        <v>0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>
        <f ca="1">IF($C208-G$1&lt;År1,0,F207*(1-VLOOKUP($A208,[1]Hugst!$R$5:$W$9,MATCH(ROUNDUP((G$1)/10,0)*10,[1]Hugst!$R$4:$W$4,0))))</f>
        <v>0</v>
      </c>
      <c r="H208">
        <f ca="1">IF($C208-H$1&lt;År1,0,G207*(1-VLOOKUP($A208,[1]Hugst!$R$5:$W$9,MATCH(ROUNDUP((H$1)/10,0)*10,[1]Hugst!$R$4:$W$4,0))))</f>
        <v>0</v>
      </c>
      <c r="I208">
        <f ca="1">IF($C208-I$1&lt;År1,0,H207*(1-VLOOKUP($A208,[1]Hugst!$R$5:$W$9,MATCH(ROUNDUP((I$1)/10,0)*10,[1]Hugst!$R$4:$W$4,0))))</f>
        <v>0</v>
      </c>
      <c r="J208">
        <f ca="1">IF($C208-J$1&lt;År1,0,I207*(1-VLOOKUP($A208,[1]Hugst!$R$5:$W$9,MATCH(ROUNDUP((J$1)/10,0)*10,[1]Hugst!$R$4:$W$4,0))))</f>
        <v>0</v>
      </c>
      <c r="K208">
        <f ca="1">IF($C208-K$1&lt;År1,0,J207*(1-VLOOKUP($A208,[1]Hugst!$R$5:$W$9,MATCH(ROUNDUP((K$1)/10,0)*10,[1]Hugst!$R$4:$W$4,0))))</f>
        <v>0</v>
      </c>
      <c r="L208">
        <f ca="1">IF($C208-L$1&lt;År1,0,K207*(1-VLOOKUP($A208,[1]Hugst!$R$5:$W$9,MATCH(ROUNDUP((L$1)/10,0)*10,[1]Hugst!$R$4:$W$4,0))))</f>
        <v>0</v>
      </c>
      <c r="M208">
        <f ca="1">IF($C208-M$1&lt;År1,0,L207*(1-VLOOKUP($A208,[1]Hugst!$R$5:$W$9,MATCH(ROUNDUP((M$1)/10,0)*10,[1]Hugst!$R$4:$W$4,0))))</f>
        <v>0</v>
      </c>
      <c r="N208">
        <f ca="1">IF($C208-N$1&lt;År1,0,M207*(1-VLOOKUP($A208,[1]Hugst!$R$5:$W$9,MATCH(ROUNDUP((N$1)/10,0)*10,[1]Hugst!$R$4:$W$4,0))))</f>
        <v>0</v>
      </c>
      <c r="O208">
        <f ca="1">IF($C208-O$1&lt;År1,0,N207*(1-VLOOKUP($A208,[1]Hugst!$R$5:$W$9,MATCH(ROUNDUP((O$1)/10,0)*10,[1]Hugst!$R$4:$W$4,0))))</f>
        <v>0</v>
      </c>
      <c r="P208">
        <f ca="1">IF($C208-P$1&lt;År1,0,O207*(1-VLOOKUP($A208,[1]Hugst!$R$5:$W$9,MATCH(ROUNDUP((P$1)/10,0)*10,[1]Hugst!$R$4:$W$4,0))))</f>
        <v>0</v>
      </c>
      <c r="Q208">
        <f ca="1">IF($C208-Q$1&lt;År1,0,P207*(1-VLOOKUP($A208,[1]Hugst!$R$5:$W$9,MATCH(ROUNDUP((Q$1)/10,0)*10,[1]Hugst!$R$4:$W$4,0))))</f>
        <v>0</v>
      </c>
      <c r="R208">
        <f ca="1">IF($C208-R$1&lt;År1,0,Q207*(1-VLOOKUP($A208,[1]Hugst!$R$5:$W$9,MATCH(ROUNDUP((R$1)/10,0)*10,[1]Hugst!$R$4:$W$4,0))))</f>
        <v>0</v>
      </c>
      <c r="S208">
        <f ca="1">IF($C208-S$1&lt;År1,0,R207*(1-VLOOKUP($A208,[1]Hugst!$R$5:$W$9,MATCH(ROUNDUP((S$1)/10,0)*10,[1]Hugst!$R$4:$W$4,0))))</f>
        <v>0</v>
      </c>
      <c r="T208">
        <f ca="1">IF($C208-T$1&lt;År1,0,S207*(1-VLOOKUP($A208,[1]Hugst!$R$5:$W$9,MATCH(ROUNDUP((T$1)/10,0)*10,[1]Hugst!$R$4:$W$4,0))))</f>
        <v>0</v>
      </c>
      <c r="U208">
        <f ca="1">IF($C208-U$1&lt;År1,0,T207*(1-VLOOKUP($A208,[1]Hugst!$R$5:$W$9,MATCH(ROUNDUP((U$1)/10,0)*10,[1]Hugst!$R$4:$W$4,0))))</f>
        <v>0</v>
      </c>
      <c r="V208">
        <f ca="1">IF($C208-V$1&lt;År1,0,U207*(1-VLOOKUP($A208,[1]Hugst!$R$5:$W$9,MATCH(ROUNDUP((V$1)/10,0)*10,[1]Hugst!$R$4:$W$4,0))))</f>
        <v>0</v>
      </c>
      <c r="W208">
        <f ca="1">IF($C208-W$1&lt;År1,0,V207*(1-VLOOKUP($A208,[1]Hugst!$R$5:$W$9,MATCH(ROUNDUP((W$1)/10,0)*10,[1]Hugst!$R$4:$W$4,0))))</f>
        <v>0</v>
      </c>
      <c r="X208">
        <f ca="1">IF($C208-X$1&lt;År1,0,W207*(1-VLOOKUP($A208,[1]Hugst!$R$5:$W$9,MATCH(ROUNDUP((X$1)/10,0)*10,[1]Hugst!$R$4:$W$4,0))))</f>
        <v>0</v>
      </c>
      <c r="Y208">
        <f ca="1">IF($C208-Y$1&lt;År1,0,X207*(1-VLOOKUP($A208,[1]Hugst!$R$5:$W$9,MATCH(ROUNDUP((Y$1)/10,0)*10,[1]Hugst!$R$4:$W$4,0))))</f>
        <v>0</v>
      </c>
      <c r="Z208">
        <f ca="1">IF($C208-Z$1&lt;År1,0,Y207*(1-VLOOKUP($A208,[1]Hugst!$R$5:$W$9,MATCH(ROUNDUP((Z$1)/10,0)*10,[1]Hugst!$R$4:$W$4,0))))</f>
        <v>0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0</v>
      </c>
      <c r="E209">
        <f t="shared" ca="1" si="4"/>
        <v>0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>
        <f ca="1">IF($C209-G$1&lt;År1,0,F208*(1-VLOOKUP($A209,[1]Hugst!$R$5:$W$9,MATCH(ROUNDUP((G$1)/10,0)*10,[1]Hugst!$R$4:$W$4,0))))</f>
        <v>0</v>
      </c>
      <c r="H209">
        <f ca="1">IF($C209-H$1&lt;År1,0,G208*(1-VLOOKUP($A209,[1]Hugst!$R$5:$W$9,MATCH(ROUNDUP((H$1)/10,0)*10,[1]Hugst!$R$4:$W$4,0))))</f>
        <v>0</v>
      </c>
      <c r="I209">
        <f ca="1">IF($C209-I$1&lt;År1,0,H208*(1-VLOOKUP($A209,[1]Hugst!$R$5:$W$9,MATCH(ROUNDUP((I$1)/10,0)*10,[1]Hugst!$R$4:$W$4,0))))</f>
        <v>0</v>
      </c>
      <c r="J209">
        <f ca="1">IF($C209-J$1&lt;År1,0,I208*(1-VLOOKUP($A209,[1]Hugst!$R$5:$W$9,MATCH(ROUNDUP((J$1)/10,0)*10,[1]Hugst!$R$4:$W$4,0))))</f>
        <v>0</v>
      </c>
      <c r="K209">
        <f ca="1">IF($C209-K$1&lt;År1,0,J208*(1-VLOOKUP($A209,[1]Hugst!$R$5:$W$9,MATCH(ROUNDUP((K$1)/10,0)*10,[1]Hugst!$R$4:$W$4,0))))</f>
        <v>0</v>
      </c>
      <c r="L209">
        <f ca="1">IF($C209-L$1&lt;År1,0,K208*(1-VLOOKUP($A209,[1]Hugst!$R$5:$W$9,MATCH(ROUNDUP((L$1)/10,0)*10,[1]Hugst!$R$4:$W$4,0))))</f>
        <v>0</v>
      </c>
      <c r="M209">
        <f ca="1">IF($C209-M$1&lt;År1,0,L208*(1-VLOOKUP($A209,[1]Hugst!$R$5:$W$9,MATCH(ROUNDUP((M$1)/10,0)*10,[1]Hugst!$R$4:$W$4,0))))</f>
        <v>0</v>
      </c>
      <c r="N209">
        <f ca="1">IF($C209-N$1&lt;År1,0,M208*(1-VLOOKUP($A209,[1]Hugst!$R$5:$W$9,MATCH(ROUNDUP((N$1)/10,0)*10,[1]Hugst!$R$4:$W$4,0))))</f>
        <v>0</v>
      </c>
      <c r="O209">
        <f ca="1">IF($C209-O$1&lt;År1,0,N208*(1-VLOOKUP($A209,[1]Hugst!$R$5:$W$9,MATCH(ROUNDUP((O$1)/10,0)*10,[1]Hugst!$R$4:$W$4,0))))</f>
        <v>0</v>
      </c>
      <c r="P209">
        <f ca="1">IF($C209-P$1&lt;År1,0,O208*(1-VLOOKUP($A209,[1]Hugst!$R$5:$W$9,MATCH(ROUNDUP((P$1)/10,0)*10,[1]Hugst!$R$4:$W$4,0))))</f>
        <v>0</v>
      </c>
      <c r="Q209">
        <f ca="1">IF($C209-Q$1&lt;År1,0,P208*(1-VLOOKUP($A209,[1]Hugst!$R$5:$W$9,MATCH(ROUNDUP((Q$1)/10,0)*10,[1]Hugst!$R$4:$W$4,0))))</f>
        <v>0</v>
      </c>
      <c r="R209">
        <f ca="1">IF($C209-R$1&lt;År1,0,Q208*(1-VLOOKUP($A209,[1]Hugst!$R$5:$W$9,MATCH(ROUNDUP((R$1)/10,0)*10,[1]Hugst!$R$4:$W$4,0))))</f>
        <v>0</v>
      </c>
      <c r="S209">
        <f ca="1">IF($C209-S$1&lt;År1,0,R208*(1-VLOOKUP($A209,[1]Hugst!$R$5:$W$9,MATCH(ROUNDUP((S$1)/10,0)*10,[1]Hugst!$R$4:$W$4,0))))</f>
        <v>0</v>
      </c>
      <c r="T209">
        <f ca="1">IF($C209-T$1&lt;År1,0,S208*(1-VLOOKUP($A209,[1]Hugst!$R$5:$W$9,MATCH(ROUNDUP((T$1)/10,0)*10,[1]Hugst!$R$4:$W$4,0))))</f>
        <v>0</v>
      </c>
      <c r="U209">
        <f ca="1">IF($C209-U$1&lt;År1,0,T208*(1-VLOOKUP($A209,[1]Hugst!$R$5:$W$9,MATCH(ROUNDUP((U$1)/10,0)*10,[1]Hugst!$R$4:$W$4,0))))</f>
        <v>0</v>
      </c>
      <c r="V209">
        <f ca="1">IF($C209-V$1&lt;År1,0,U208*(1-VLOOKUP($A209,[1]Hugst!$R$5:$W$9,MATCH(ROUNDUP((V$1)/10,0)*10,[1]Hugst!$R$4:$W$4,0))))</f>
        <v>0</v>
      </c>
      <c r="W209">
        <f ca="1">IF($C209-W$1&lt;År1,0,V208*(1-VLOOKUP($A209,[1]Hugst!$R$5:$W$9,MATCH(ROUNDUP((W$1)/10,0)*10,[1]Hugst!$R$4:$W$4,0))))</f>
        <v>0</v>
      </c>
      <c r="X209">
        <f ca="1">IF($C209-X$1&lt;År1,0,W208*(1-VLOOKUP($A209,[1]Hugst!$R$5:$W$9,MATCH(ROUNDUP((X$1)/10,0)*10,[1]Hugst!$R$4:$W$4,0))))</f>
        <v>0</v>
      </c>
      <c r="Y209">
        <f ca="1">IF($C209-Y$1&lt;År1,0,X208*(1-VLOOKUP($A209,[1]Hugst!$R$5:$W$9,MATCH(ROUNDUP((Y$1)/10,0)*10,[1]Hugst!$R$4:$W$4,0))))</f>
        <v>0</v>
      </c>
      <c r="Z209">
        <f ca="1">IF($C209-Z$1&lt;År1,0,Y208*(1-VLOOKUP($A209,[1]Hugst!$R$5:$W$9,MATCH(ROUNDUP((Z$1)/10,0)*10,[1]Hugst!$R$4:$W$4,0))))</f>
        <v>0</v>
      </c>
      <c r="AA209">
        <f ca="1">IF($C209-AA$1&lt;År1,0,Z208*(1-VLOOKUP($A209,[1]Hugst!$R$5:$W$9,MATCH(ROUNDUP((AA$1)/10,0)*10,[1]Hugst!$R$4:$W$4,0))))</f>
        <v>0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0</v>
      </c>
      <c r="E210">
        <f t="shared" ca="1" si="4"/>
        <v>0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>
        <f ca="1">IF($C210-G$1&lt;År1,0,F209*(1-VLOOKUP($A210,[1]Hugst!$R$5:$W$9,MATCH(ROUNDUP((G$1)/10,0)*10,[1]Hugst!$R$4:$W$4,0))))</f>
        <v>0</v>
      </c>
      <c r="H210">
        <f ca="1">IF($C210-H$1&lt;År1,0,G209*(1-VLOOKUP($A210,[1]Hugst!$R$5:$W$9,MATCH(ROUNDUP((H$1)/10,0)*10,[1]Hugst!$R$4:$W$4,0))))</f>
        <v>0</v>
      </c>
      <c r="I210">
        <f ca="1">IF($C210-I$1&lt;År1,0,H209*(1-VLOOKUP($A210,[1]Hugst!$R$5:$W$9,MATCH(ROUNDUP((I$1)/10,0)*10,[1]Hugst!$R$4:$W$4,0))))</f>
        <v>0</v>
      </c>
      <c r="J210">
        <f ca="1">IF($C210-J$1&lt;År1,0,I209*(1-VLOOKUP($A210,[1]Hugst!$R$5:$W$9,MATCH(ROUNDUP((J$1)/10,0)*10,[1]Hugst!$R$4:$W$4,0))))</f>
        <v>0</v>
      </c>
      <c r="K210">
        <f ca="1">IF($C210-K$1&lt;År1,0,J209*(1-VLOOKUP($A210,[1]Hugst!$R$5:$W$9,MATCH(ROUNDUP((K$1)/10,0)*10,[1]Hugst!$R$4:$W$4,0))))</f>
        <v>0</v>
      </c>
      <c r="L210">
        <f ca="1">IF($C210-L$1&lt;År1,0,K209*(1-VLOOKUP($A210,[1]Hugst!$R$5:$W$9,MATCH(ROUNDUP((L$1)/10,0)*10,[1]Hugst!$R$4:$W$4,0))))</f>
        <v>0</v>
      </c>
      <c r="M210">
        <f ca="1">IF($C210-M$1&lt;År1,0,L209*(1-VLOOKUP($A210,[1]Hugst!$R$5:$W$9,MATCH(ROUNDUP((M$1)/10,0)*10,[1]Hugst!$R$4:$W$4,0))))</f>
        <v>0</v>
      </c>
      <c r="N210">
        <f ca="1">IF($C210-N$1&lt;År1,0,M209*(1-VLOOKUP($A210,[1]Hugst!$R$5:$W$9,MATCH(ROUNDUP((N$1)/10,0)*10,[1]Hugst!$R$4:$W$4,0))))</f>
        <v>0</v>
      </c>
      <c r="O210">
        <f ca="1">IF($C210-O$1&lt;År1,0,N209*(1-VLOOKUP($A210,[1]Hugst!$R$5:$W$9,MATCH(ROUNDUP((O$1)/10,0)*10,[1]Hugst!$R$4:$W$4,0))))</f>
        <v>0</v>
      </c>
      <c r="P210">
        <f ca="1">IF($C210-P$1&lt;År1,0,O209*(1-VLOOKUP($A210,[1]Hugst!$R$5:$W$9,MATCH(ROUNDUP((P$1)/10,0)*10,[1]Hugst!$R$4:$W$4,0))))</f>
        <v>0</v>
      </c>
      <c r="Q210">
        <f ca="1">IF($C210-Q$1&lt;År1,0,P209*(1-VLOOKUP($A210,[1]Hugst!$R$5:$W$9,MATCH(ROUNDUP((Q$1)/10,0)*10,[1]Hugst!$R$4:$W$4,0))))</f>
        <v>0</v>
      </c>
      <c r="R210">
        <f ca="1">IF($C210-R$1&lt;År1,0,Q209*(1-VLOOKUP($A210,[1]Hugst!$R$5:$W$9,MATCH(ROUNDUP((R$1)/10,0)*10,[1]Hugst!$R$4:$W$4,0))))</f>
        <v>0</v>
      </c>
      <c r="S210">
        <f ca="1">IF($C210-S$1&lt;År1,0,R209*(1-VLOOKUP($A210,[1]Hugst!$R$5:$W$9,MATCH(ROUNDUP((S$1)/10,0)*10,[1]Hugst!$R$4:$W$4,0))))</f>
        <v>0</v>
      </c>
      <c r="T210">
        <f ca="1">IF($C210-T$1&lt;År1,0,S209*(1-VLOOKUP($A210,[1]Hugst!$R$5:$W$9,MATCH(ROUNDUP((T$1)/10,0)*10,[1]Hugst!$R$4:$W$4,0))))</f>
        <v>0</v>
      </c>
      <c r="U210">
        <f ca="1">IF($C210-U$1&lt;År1,0,T209*(1-VLOOKUP($A210,[1]Hugst!$R$5:$W$9,MATCH(ROUNDUP((U$1)/10,0)*10,[1]Hugst!$R$4:$W$4,0))))</f>
        <v>0</v>
      </c>
      <c r="V210">
        <f ca="1">IF($C210-V$1&lt;År1,0,U209*(1-VLOOKUP($A210,[1]Hugst!$R$5:$W$9,MATCH(ROUNDUP((V$1)/10,0)*10,[1]Hugst!$R$4:$W$4,0))))</f>
        <v>0</v>
      </c>
      <c r="W210">
        <f ca="1">IF($C210-W$1&lt;År1,0,V209*(1-VLOOKUP($A210,[1]Hugst!$R$5:$W$9,MATCH(ROUNDUP((W$1)/10,0)*10,[1]Hugst!$R$4:$W$4,0))))</f>
        <v>0</v>
      </c>
      <c r="X210">
        <f ca="1">IF($C210-X$1&lt;År1,0,W209*(1-VLOOKUP($A210,[1]Hugst!$R$5:$W$9,MATCH(ROUNDUP((X$1)/10,0)*10,[1]Hugst!$R$4:$W$4,0))))</f>
        <v>0</v>
      </c>
      <c r="Y210">
        <f ca="1">IF($C210-Y$1&lt;År1,0,X209*(1-VLOOKUP($A210,[1]Hugst!$R$5:$W$9,MATCH(ROUNDUP((Y$1)/10,0)*10,[1]Hugst!$R$4:$W$4,0))))</f>
        <v>0</v>
      </c>
      <c r="Z210">
        <f ca="1">IF($C210-Z$1&lt;År1,0,Y209*(1-VLOOKUP($A210,[1]Hugst!$R$5:$W$9,MATCH(ROUNDUP((Z$1)/10,0)*10,[1]Hugst!$R$4:$W$4,0))))</f>
        <v>0</v>
      </c>
      <c r="AA210">
        <f ca="1">IF($C210-AA$1&lt;År1,0,Z209*(1-VLOOKUP($A210,[1]Hugst!$R$5:$W$9,MATCH(ROUNDUP((AA$1)/10,0)*10,[1]Hugst!$R$4:$W$4,0))))</f>
        <v>0</v>
      </c>
      <c r="AB210">
        <f ca="1">IF($C210-AB$1&lt;År1,0,AA209*(1-VLOOKUP($A210,[1]Hugst!$R$5:$W$9,MATCH(ROUNDUP((AB$1)/10,0)*10,[1]Hugst!$R$4:$W$4,0))))</f>
        <v>0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0</v>
      </c>
      <c r="E211">
        <f t="shared" ca="1" si="4"/>
        <v>0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>
        <f ca="1">IF($C211-G$1&lt;År1,0,F210*(1-VLOOKUP($A211,[1]Hugst!$R$5:$W$9,MATCH(ROUNDUP((G$1)/10,0)*10,[1]Hugst!$R$4:$W$4,0))))</f>
        <v>0</v>
      </c>
      <c r="H211">
        <f ca="1">IF($C211-H$1&lt;År1,0,G210*(1-VLOOKUP($A211,[1]Hugst!$R$5:$W$9,MATCH(ROUNDUP((H$1)/10,0)*10,[1]Hugst!$R$4:$W$4,0))))</f>
        <v>0</v>
      </c>
      <c r="I211">
        <f ca="1">IF($C211-I$1&lt;År1,0,H210*(1-VLOOKUP($A211,[1]Hugst!$R$5:$W$9,MATCH(ROUNDUP((I$1)/10,0)*10,[1]Hugst!$R$4:$W$4,0))))</f>
        <v>0</v>
      </c>
      <c r="J211">
        <f ca="1">IF($C211-J$1&lt;År1,0,I210*(1-VLOOKUP($A211,[1]Hugst!$R$5:$W$9,MATCH(ROUNDUP((J$1)/10,0)*10,[1]Hugst!$R$4:$W$4,0))))</f>
        <v>0</v>
      </c>
      <c r="K211">
        <f ca="1">IF($C211-K$1&lt;År1,0,J210*(1-VLOOKUP($A211,[1]Hugst!$R$5:$W$9,MATCH(ROUNDUP((K$1)/10,0)*10,[1]Hugst!$R$4:$W$4,0))))</f>
        <v>0</v>
      </c>
      <c r="L211">
        <f ca="1">IF($C211-L$1&lt;År1,0,K210*(1-VLOOKUP($A211,[1]Hugst!$R$5:$W$9,MATCH(ROUNDUP((L$1)/10,0)*10,[1]Hugst!$R$4:$W$4,0))))</f>
        <v>0</v>
      </c>
      <c r="M211">
        <f ca="1">IF($C211-M$1&lt;År1,0,L210*(1-VLOOKUP($A211,[1]Hugst!$R$5:$W$9,MATCH(ROUNDUP((M$1)/10,0)*10,[1]Hugst!$R$4:$W$4,0))))</f>
        <v>0</v>
      </c>
      <c r="N211">
        <f ca="1">IF($C211-N$1&lt;År1,0,M210*(1-VLOOKUP($A211,[1]Hugst!$R$5:$W$9,MATCH(ROUNDUP((N$1)/10,0)*10,[1]Hugst!$R$4:$W$4,0))))</f>
        <v>0</v>
      </c>
      <c r="O211">
        <f ca="1">IF($C211-O$1&lt;År1,0,N210*(1-VLOOKUP($A211,[1]Hugst!$R$5:$W$9,MATCH(ROUNDUP((O$1)/10,0)*10,[1]Hugst!$R$4:$W$4,0))))</f>
        <v>0</v>
      </c>
      <c r="P211">
        <f ca="1">IF($C211-P$1&lt;År1,0,O210*(1-VLOOKUP($A211,[1]Hugst!$R$5:$W$9,MATCH(ROUNDUP((P$1)/10,0)*10,[1]Hugst!$R$4:$W$4,0))))</f>
        <v>0</v>
      </c>
      <c r="Q211">
        <f ca="1">IF($C211-Q$1&lt;År1,0,P210*(1-VLOOKUP($A211,[1]Hugst!$R$5:$W$9,MATCH(ROUNDUP((Q$1)/10,0)*10,[1]Hugst!$R$4:$W$4,0))))</f>
        <v>0</v>
      </c>
      <c r="R211">
        <f ca="1">IF($C211-R$1&lt;År1,0,Q210*(1-VLOOKUP($A211,[1]Hugst!$R$5:$W$9,MATCH(ROUNDUP((R$1)/10,0)*10,[1]Hugst!$R$4:$W$4,0))))</f>
        <v>0</v>
      </c>
      <c r="S211">
        <f ca="1">IF($C211-S$1&lt;År1,0,R210*(1-VLOOKUP($A211,[1]Hugst!$R$5:$W$9,MATCH(ROUNDUP((S$1)/10,0)*10,[1]Hugst!$R$4:$W$4,0))))</f>
        <v>0</v>
      </c>
      <c r="T211">
        <f ca="1">IF($C211-T$1&lt;År1,0,S210*(1-VLOOKUP($A211,[1]Hugst!$R$5:$W$9,MATCH(ROUNDUP((T$1)/10,0)*10,[1]Hugst!$R$4:$W$4,0))))</f>
        <v>0</v>
      </c>
      <c r="U211">
        <f ca="1">IF($C211-U$1&lt;År1,0,T210*(1-VLOOKUP($A211,[1]Hugst!$R$5:$W$9,MATCH(ROUNDUP((U$1)/10,0)*10,[1]Hugst!$R$4:$W$4,0))))</f>
        <v>0</v>
      </c>
      <c r="V211">
        <f ca="1">IF($C211-V$1&lt;År1,0,U210*(1-VLOOKUP($A211,[1]Hugst!$R$5:$W$9,MATCH(ROUNDUP((V$1)/10,0)*10,[1]Hugst!$R$4:$W$4,0))))</f>
        <v>0</v>
      </c>
      <c r="W211">
        <f ca="1">IF($C211-W$1&lt;År1,0,V210*(1-VLOOKUP($A211,[1]Hugst!$R$5:$W$9,MATCH(ROUNDUP((W$1)/10,0)*10,[1]Hugst!$R$4:$W$4,0))))</f>
        <v>0</v>
      </c>
      <c r="X211">
        <f ca="1">IF($C211-X$1&lt;År1,0,W210*(1-VLOOKUP($A211,[1]Hugst!$R$5:$W$9,MATCH(ROUNDUP((X$1)/10,0)*10,[1]Hugst!$R$4:$W$4,0))))</f>
        <v>0</v>
      </c>
      <c r="Y211">
        <f ca="1">IF($C211-Y$1&lt;År1,0,X210*(1-VLOOKUP($A211,[1]Hugst!$R$5:$W$9,MATCH(ROUNDUP((Y$1)/10,0)*10,[1]Hugst!$R$4:$W$4,0))))</f>
        <v>0</v>
      </c>
      <c r="Z211">
        <f ca="1">IF($C211-Z$1&lt;År1,0,Y210*(1-VLOOKUP($A211,[1]Hugst!$R$5:$W$9,MATCH(ROUNDUP((Z$1)/10,0)*10,[1]Hugst!$R$4:$W$4,0))))</f>
        <v>0</v>
      </c>
      <c r="AA211">
        <f ca="1">IF($C211-AA$1&lt;År1,0,Z210*(1-VLOOKUP($A211,[1]Hugst!$R$5:$W$9,MATCH(ROUNDUP((AA$1)/10,0)*10,[1]Hugst!$R$4:$W$4,0))))</f>
        <v>0</v>
      </c>
      <c r="AB211">
        <f ca="1">IF($C211-AB$1&lt;År1,0,AA210*(1-VLOOKUP($A211,[1]Hugst!$R$5:$W$9,MATCH(ROUNDUP((AB$1)/10,0)*10,[1]Hugst!$R$4:$W$4,0))))</f>
        <v>0</v>
      </c>
      <c r="AC211">
        <f ca="1">IF($C211-AC$1&lt;År1,0,AB210*(1-VLOOKUP($A211,[1]Hugst!$R$5:$W$9,MATCH(ROUNDUP((AC$1)/10,0)*10,[1]Hugst!$R$4:$W$4,0))))</f>
        <v>0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0</v>
      </c>
      <c r="E212">
        <f t="shared" ca="1" si="4"/>
        <v>0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>
        <f ca="1">IF($C212-G$1&lt;År1,0,F211*(1-VLOOKUP($A212,[1]Hugst!$R$5:$W$9,MATCH(ROUNDUP((G$1)/10,0)*10,[1]Hugst!$R$4:$W$4,0))))</f>
        <v>0</v>
      </c>
      <c r="H212">
        <f ca="1">IF($C212-H$1&lt;År1,0,G211*(1-VLOOKUP($A212,[1]Hugst!$R$5:$W$9,MATCH(ROUNDUP((H$1)/10,0)*10,[1]Hugst!$R$4:$W$4,0))))</f>
        <v>0</v>
      </c>
      <c r="I212">
        <f ca="1">IF($C212-I$1&lt;År1,0,H211*(1-VLOOKUP($A212,[1]Hugst!$R$5:$W$9,MATCH(ROUNDUP((I$1)/10,0)*10,[1]Hugst!$R$4:$W$4,0))))</f>
        <v>0</v>
      </c>
      <c r="J212">
        <f ca="1">IF($C212-J$1&lt;År1,0,I211*(1-VLOOKUP($A212,[1]Hugst!$R$5:$W$9,MATCH(ROUNDUP((J$1)/10,0)*10,[1]Hugst!$R$4:$W$4,0))))</f>
        <v>0</v>
      </c>
      <c r="K212">
        <f ca="1">IF($C212-K$1&lt;År1,0,J211*(1-VLOOKUP($A212,[1]Hugst!$R$5:$W$9,MATCH(ROUNDUP((K$1)/10,0)*10,[1]Hugst!$R$4:$W$4,0))))</f>
        <v>0</v>
      </c>
      <c r="L212">
        <f ca="1">IF($C212-L$1&lt;År1,0,K211*(1-VLOOKUP($A212,[1]Hugst!$R$5:$W$9,MATCH(ROUNDUP((L$1)/10,0)*10,[1]Hugst!$R$4:$W$4,0))))</f>
        <v>0</v>
      </c>
      <c r="M212">
        <f ca="1">IF($C212-M$1&lt;År1,0,L211*(1-VLOOKUP($A212,[1]Hugst!$R$5:$W$9,MATCH(ROUNDUP((M$1)/10,0)*10,[1]Hugst!$R$4:$W$4,0))))</f>
        <v>0</v>
      </c>
      <c r="N212">
        <f ca="1">IF($C212-N$1&lt;År1,0,M211*(1-VLOOKUP($A212,[1]Hugst!$R$5:$W$9,MATCH(ROUNDUP((N$1)/10,0)*10,[1]Hugst!$R$4:$W$4,0))))</f>
        <v>0</v>
      </c>
      <c r="O212">
        <f ca="1">IF($C212-O$1&lt;År1,0,N211*(1-VLOOKUP($A212,[1]Hugst!$R$5:$W$9,MATCH(ROUNDUP((O$1)/10,0)*10,[1]Hugst!$R$4:$W$4,0))))</f>
        <v>0</v>
      </c>
      <c r="P212">
        <f ca="1">IF($C212-P$1&lt;År1,0,O211*(1-VLOOKUP($A212,[1]Hugst!$R$5:$W$9,MATCH(ROUNDUP((P$1)/10,0)*10,[1]Hugst!$R$4:$W$4,0))))</f>
        <v>0</v>
      </c>
      <c r="Q212">
        <f ca="1">IF($C212-Q$1&lt;År1,0,P211*(1-VLOOKUP($A212,[1]Hugst!$R$5:$W$9,MATCH(ROUNDUP((Q$1)/10,0)*10,[1]Hugst!$R$4:$W$4,0))))</f>
        <v>0</v>
      </c>
      <c r="R212">
        <f ca="1">IF($C212-R$1&lt;År1,0,Q211*(1-VLOOKUP($A212,[1]Hugst!$R$5:$W$9,MATCH(ROUNDUP((R$1)/10,0)*10,[1]Hugst!$R$4:$W$4,0))))</f>
        <v>0</v>
      </c>
      <c r="S212">
        <f ca="1">IF($C212-S$1&lt;År1,0,R211*(1-VLOOKUP($A212,[1]Hugst!$R$5:$W$9,MATCH(ROUNDUP((S$1)/10,0)*10,[1]Hugst!$R$4:$W$4,0))))</f>
        <v>0</v>
      </c>
      <c r="T212">
        <f ca="1">IF($C212-T$1&lt;År1,0,S211*(1-VLOOKUP($A212,[1]Hugst!$R$5:$W$9,MATCH(ROUNDUP((T$1)/10,0)*10,[1]Hugst!$R$4:$W$4,0))))</f>
        <v>0</v>
      </c>
      <c r="U212">
        <f ca="1">IF($C212-U$1&lt;År1,0,T211*(1-VLOOKUP($A212,[1]Hugst!$R$5:$W$9,MATCH(ROUNDUP((U$1)/10,0)*10,[1]Hugst!$R$4:$W$4,0))))</f>
        <v>0</v>
      </c>
      <c r="V212">
        <f ca="1">IF($C212-V$1&lt;År1,0,U211*(1-VLOOKUP($A212,[1]Hugst!$R$5:$W$9,MATCH(ROUNDUP((V$1)/10,0)*10,[1]Hugst!$R$4:$W$4,0))))</f>
        <v>0</v>
      </c>
      <c r="W212">
        <f ca="1">IF($C212-W$1&lt;År1,0,V211*(1-VLOOKUP($A212,[1]Hugst!$R$5:$W$9,MATCH(ROUNDUP((W$1)/10,0)*10,[1]Hugst!$R$4:$W$4,0))))</f>
        <v>0</v>
      </c>
      <c r="X212">
        <f ca="1">IF($C212-X$1&lt;År1,0,W211*(1-VLOOKUP($A212,[1]Hugst!$R$5:$W$9,MATCH(ROUNDUP((X$1)/10,0)*10,[1]Hugst!$R$4:$W$4,0))))</f>
        <v>0</v>
      </c>
      <c r="Y212">
        <f ca="1">IF($C212-Y$1&lt;År1,0,X211*(1-VLOOKUP($A212,[1]Hugst!$R$5:$W$9,MATCH(ROUNDUP((Y$1)/10,0)*10,[1]Hugst!$R$4:$W$4,0))))</f>
        <v>0</v>
      </c>
      <c r="Z212">
        <f ca="1">IF($C212-Z$1&lt;År1,0,Y211*(1-VLOOKUP($A212,[1]Hugst!$R$5:$W$9,MATCH(ROUNDUP((Z$1)/10,0)*10,[1]Hugst!$R$4:$W$4,0))))</f>
        <v>0</v>
      </c>
      <c r="AA212">
        <f ca="1">IF($C212-AA$1&lt;År1,0,Z211*(1-VLOOKUP($A212,[1]Hugst!$R$5:$W$9,MATCH(ROUNDUP((AA$1)/10,0)*10,[1]Hugst!$R$4:$W$4,0))))</f>
        <v>0</v>
      </c>
      <c r="AB212">
        <f ca="1">IF($C212-AB$1&lt;År1,0,AA211*(1-VLOOKUP($A212,[1]Hugst!$R$5:$W$9,MATCH(ROUNDUP((AB$1)/10,0)*10,[1]Hugst!$R$4:$W$4,0))))</f>
        <v>0</v>
      </c>
      <c r="AC212">
        <f ca="1">IF($C212-AC$1&lt;År1,0,AB211*(1-VLOOKUP($A212,[1]Hugst!$R$5:$W$9,MATCH(ROUNDUP((AC$1)/10,0)*10,[1]Hugst!$R$4:$W$4,0))))</f>
        <v>0</v>
      </c>
      <c r="AD212">
        <f ca="1">IF($C212-AD$1&lt;År1,0,AC211*(1-VLOOKUP($A212,[1]Hugst!$R$5:$W$9,MATCH(ROUNDUP((AD$1)/10,0)*10,[1]Hugst!$R$4:$W$4,0))))</f>
        <v>0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0</v>
      </c>
      <c r="E213">
        <f t="shared" ca="1" si="4"/>
        <v>0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>
        <f ca="1">IF($C213-G$1&lt;År1,0,F212*(1-VLOOKUP($A213,[1]Hugst!$R$5:$W$9,MATCH(ROUNDUP((G$1)/10,0)*10,[1]Hugst!$R$4:$W$4,0))))</f>
        <v>0</v>
      </c>
      <c r="H213">
        <f ca="1">IF($C213-H$1&lt;År1,0,G212*(1-VLOOKUP($A213,[1]Hugst!$R$5:$W$9,MATCH(ROUNDUP((H$1)/10,0)*10,[1]Hugst!$R$4:$W$4,0))))</f>
        <v>0</v>
      </c>
      <c r="I213">
        <f ca="1">IF($C213-I$1&lt;År1,0,H212*(1-VLOOKUP($A213,[1]Hugst!$R$5:$W$9,MATCH(ROUNDUP((I$1)/10,0)*10,[1]Hugst!$R$4:$W$4,0))))</f>
        <v>0</v>
      </c>
      <c r="J213">
        <f ca="1">IF($C213-J$1&lt;År1,0,I212*(1-VLOOKUP($A213,[1]Hugst!$R$5:$W$9,MATCH(ROUNDUP((J$1)/10,0)*10,[1]Hugst!$R$4:$W$4,0))))</f>
        <v>0</v>
      </c>
      <c r="K213">
        <f ca="1">IF($C213-K$1&lt;År1,0,J212*(1-VLOOKUP($A213,[1]Hugst!$R$5:$W$9,MATCH(ROUNDUP((K$1)/10,0)*10,[1]Hugst!$R$4:$W$4,0))))</f>
        <v>0</v>
      </c>
      <c r="L213">
        <f ca="1">IF($C213-L$1&lt;År1,0,K212*(1-VLOOKUP($A213,[1]Hugst!$R$5:$W$9,MATCH(ROUNDUP((L$1)/10,0)*10,[1]Hugst!$R$4:$W$4,0))))</f>
        <v>0</v>
      </c>
      <c r="M213">
        <f ca="1">IF($C213-M$1&lt;År1,0,L212*(1-VLOOKUP($A213,[1]Hugst!$R$5:$W$9,MATCH(ROUNDUP((M$1)/10,0)*10,[1]Hugst!$R$4:$W$4,0))))</f>
        <v>0</v>
      </c>
      <c r="N213">
        <f ca="1">IF($C213-N$1&lt;År1,0,M212*(1-VLOOKUP($A213,[1]Hugst!$R$5:$W$9,MATCH(ROUNDUP((N$1)/10,0)*10,[1]Hugst!$R$4:$W$4,0))))</f>
        <v>0</v>
      </c>
      <c r="O213">
        <f ca="1">IF($C213-O$1&lt;År1,0,N212*(1-VLOOKUP($A213,[1]Hugst!$R$5:$W$9,MATCH(ROUNDUP((O$1)/10,0)*10,[1]Hugst!$R$4:$W$4,0))))</f>
        <v>0</v>
      </c>
      <c r="P213">
        <f ca="1">IF($C213-P$1&lt;År1,0,O212*(1-VLOOKUP($A213,[1]Hugst!$R$5:$W$9,MATCH(ROUNDUP((P$1)/10,0)*10,[1]Hugst!$R$4:$W$4,0))))</f>
        <v>0</v>
      </c>
      <c r="Q213">
        <f ca="1">IF($C213-Q$1&lt;År1,0,P212*(1-VLOOKUP($A213,[1]Hugst!$R$5:$W$9,MATCH(ROUNDUP((Q$1)/10,0)*10,[1]Hugst!$R$4:$W$4,0))))</f>
        <v>0</v>
      </c>
      <c r="R213">
        <f ca="1">IF($C213-R$1&lt;År1,0,Q212*(1-VLOOKUP($A213,[1]Hugst!$R$5:$W$9,MATCH(ROUNDUP((R$1)/10,0)*10,[1]Hugst!$R$4:$W$4,0))))</f>
        <v>0</v>
      </c>
      <c r="S213">
        <f ca="1">IF($C213-S$1&lt;År1,0,R212*(1-VLOOKUP($A213,[1]Hugst!$R$5:$W$9,MATCH(ROUNDUP((S$1)/10,0)*10,[1]Hugst!$R$4:$W$4,0))))</f>
        <v>0</v>
      </c>
      <c r="T213">
        <f ca="1">IF($C213-T$1&lt;År1,0,S212*(1-VLOOKUP($A213,[1]Hugst!$R$5:$W$9,MATCH(ROUNDUP((T$1)/10,0)*10,[1]Hugst!$R$4:$W$4,0))))</f>
        <v>0</v>
      </c>
      <c r="U213">
        <f ca="1">IF($C213-U$1&lt;År1,0,T212*(1-VLOOKUP($A213,[1]Hugst!$R$5:$W$9,MATCH(ROUNDUP((U$1)/10,0)*10,[1]Hugst!$R$4:$W$4,0))))</f>
        <v>0</v>
      </c>
      <c r="V213">
        <f ca="1">IF($C213-V$1&lt;År1,0,U212*(1-VLOOKUP($A213,[1]Hugst!$R$5:$W$9,MATCH(ROUNDUP((V$1)/10,0)*10,[1]Hugst!$R$4:$W$4,0))))</f>
        <v>0</v>
      </c>
      <c r="W213">
        <f ca="1">IF($C213-W$1&lt;År1,0,V212*(1-VLOOKUP($A213,[1]Hugst!$R$5:$W$9,MATCH(ROUNDUP((W$1)/10,0)*10,[1]Hugst!$R$4:$W$4,0))))</f>
        <v>0</v>
      </c>
      <c r="X213">
        <f ca="1">IF($C213-X$1&lt;År1,0,W212*(1-VLOOKUP($A213,[1]Hugst!$R$5:$W$9,MATCH(ROUNDUP((X$1)/10,0)*10,[1]Hugst!$R$4:$W$4,0))))</f>
        <v>0</v>
      </c>
      <c r="Y213">
        <f ca="1">IF($C213-Y$1&lt;År1,0,X212*(1-VLOOKUP($A213,[1]Hugst!$R$5:$W$9,MATCH(ROUNDUP((Y$1)/10,0)*10,[1]Hugst!$R$4:$W$4,0))))</f>
        <v>0</v>
      </c>
      <c r="Z213">
        <f ca="1">IF($C213-Z$1&lt;År1,0,Y212*(1-VLOOKUP($A213,[1]Hugst!$R$5:$W$9,MATCH(ROUNDUP((Z$1)/10,0)*10,[1]Hugst!$R$4:$W$4,0))))</f>
        <v>0</v>
      </c>
      <c r="AA213">
        <f ca="1">IF($C213-AA$1&lt;År1,0,Z212*(1-VLOOKUP($A213,[1]Hugst!$R$5:$W$9,MATCH(ROUNDUP((AA$1)/10,0)*10,[1]Hugst!$R$4:$W$4,0))))</f>
        <v>0</v>
      </c>
      <c r="AB213">
        <f ca="1">IF($C213-AB$1&lt;År1,0,AA212*(1-VLOOKUP($A213,[1]Hugst!$R$5:$W$9,MATCH(ROUNDUP((AB$1)/10,0)*10,[1]Hugst!$R$4:$W$4,0))))</f>
        <v>0</v>
      </c>
      <c r="AC213">
        <f ca="1">IF($C213-AC$1&lt;År1,0,AB212*(1-VLOOKUP($A213,[1]Hugst!$R$5:$W$9,MATCH(ROUNDUP((AC$1)/10,0)*10,[1]Hugst!$R$4:$W$4,0))))</f>
        <v>0</v>
      </c>
      <c r="AD213">
        <f ca="1">IF($C213-AD$1&lt;År1,0,AC212*(1-VLOOKUP($A213,[1]Hugst!$R$5:$W$9,MATCH(ROUNDUP((AD$1)/10,0)*10,[1]Hugst!$R$4:$W$4,0))))</f>
        <v>0</v>
      </c>
      <c r="AE213">
        <f ca="1">IF($C213-AE$1&lt;År1,0,AD212*(1-VLOOKUP($A213,[1]Hugst!$R$5:$W$9,MATCH(ROUNDUP((AE$1)/10,0)*10,[1]Hugst!$R$4:$W$4,0))))</f>
        <v>0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0</v>
      </c>
      <c r="E214">
        <f t="shared" ca="1" si="4"/>
        <v>0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>
        <f ca="1">IF($C214-G$1&lt;År1,0,F213*(1-VLOOKUP($A214,[1]Hugst!$R$5:$W$9,MATCH(ROUNDUP((G$1)/10,0)*10,[1]Hugst!$R$4:$W$4,0))))</f>
        <v>0</v>
      </c>
      <c r="H214">
        <f ca="1">IF($C214-H$1&lt;År1,0,G213*(1-VLOOKUP($A214,[1]Hugst!$R$5:$W$9,MATCH(ROUNDUP((H$1)/10,0)*10,[1]Hugst!$R$4:$W$4,0))))</f>
        <v>0</v>
      </c>
      <c r="I214">
        <f ca="1">IF($C214-I$1&lt;År1,0,H213*(1-VLOOKUP($A214,[1]Hugst!$R$5:$W$9,MATCH(ROUNDUP((I$1)/10,0)*10,[1]Hugst!$R$4:$W$4,0))))</f>
        <v>0</v>
      </c>
      <c r="J214">
        <f ca="1">IF($C214-J$1&lt;År1,0,I213*(1-VLOOKUP($A214,[1]Hugst!$R$5:$W$9,MATCH(ROUNDUP((J$1)/10,0)*10,[1]Hugst!$R$4:$W$4,0))))</f>
        <v>0</v>
      </c>
      <c r="K214">
        <f ca="1">IF($C214-K$1&lt;År1,0,J213*(1-VLOOKUP($A214,[1]Hugst!$R$5:$W$9,MATCH(ROUNDUP((K$1)/10,0)*10,[1]Hugst!$R$4:$W$4,0))))</f>
        <v>0</v>
      </c>
      <c r="L214">
        <f ca="1">IF($C214-L$1&lt;År1,0,K213*(1-VLOOKUP($A214,[1]Hugst!$R$5:$W$9,MATCH(ROUNDUP((L$1)/10,0)*10,[1]Hugst!$R$4:$W$4,0))))</f>
        <v>0</v>
      </c>
      <c r="M214">
        <f ca="1">IF($C214-M$1&lt;År1,0,L213*(1-VLOOKUP($A214,[1]Hugst!$R$5:$W$9,MATCH(ROUNDUP((M$1)/10,0)*10,[1]Hugst!$R$4:$W$4,0))))</f>
        <v>0</v>
      </c>
      <c r="N214">
        <f ca="1">IF($C214-N$1&lt;År1,0,M213*(1-VLOOKUP($A214,[1]Hugst!$R$5:$W$9,MATCH(ROUNDUP((N$1)/10,0)*10,[1]Hugst!$R$4:$W$4,0))))</f>
        <v>0</v>
      </c>
      <c r="O214">
        <f ca="1">IF($C214-O$1&lt;År1,0,N213*(1-VLOOKUP($A214,[1]Hugst!$R$5:$W$9,MATCH(ROUNDUP((O$1)/10,0)*10,[1]Hugst!$R$4:$W$4,0))))</f>
        <v>0</v>
      </c>
      <c r="P214">
        <f ca="1">IF($C214-P$1&lt;År1,0,O213*(1-VLOOKUP($A214,[1]Hugst!$R$5:$W$9,MATCH(ROUNDUP((P$1)/10,0)*10,[1]Hugst!$R$4:$W$4,0))))</f>
        <v>0</v>
      </c>
      <c r="Q214">
        <f ca="1">IF($C214-Q$1&lt;År1,0,P213*(1-VLOOKUP($A214,[1]Hugst!$R$5:$W$9,MATCH(ROUNDUP((Q$1)/10,0)*10,[1]Hugst!$R$4:$W$4,0))))</f>
        <v>0</v>
      </c>
      <c r="R214">
        <f ca="1">IF($C214-R$1&lt;År1,0,Q213*(1-VLOOKUP($A214,[1]Hugst!$R$5:$W$9,MATCH(ROUNDUP((R$1)/10,0)*10,[1]Hugst!$R$4:$W$4,0))))</f>
        <v>0</v>
      </c>
      <c r="S214">
        <f ca="1">IF($C214-S$1&lt;År1,0,R213*(1-VLOOKUP($A214,[1]Hugst!$R$5:$W$9,MATCH(ROUNDUP((S$1)/10,0)*10,[1]Hugst!$R$4:$W$4,0))))</f>
        <v>0</v>
      </c>
      <c r="T214">
        <f ca="1">IF($C214-T$1&lt;År1,0,S213*(1-VLOOKUP($A214,[1]Hugst!$R$5:$W$9,MATCH(ROUNDUP((T$1)/10,0)*10,[1]Hugst!$R$4:$W$4,0))))</f>
        <v>0</v>
      </c>
      <c r="U214">
        <f ca="1">IF($C214-U$1&lt;År1,0,T213*(1-VLOOKUP($A214,[1]Hugst!$R$5:$W$9,MATCH(ROUNDUP((U$1)/10,0)*10,[1]Hugst!$R$4:$W$4,0))))</f>
        <v>0</v>
      </c>
      <c r="V214">
        <f ca="1">IF($C214-V$1&lt;År1,0,U213*(1-VLOOKUP($A214,[1]Hugst!$R$5:$W$9,MATCH(ROUNDUP((V$1)/10,0)*10,[1]Hugst!$R$4:$W$4,0))))</f>
        <v>0</v>
      </c>
      <c r="W214">
        <f ca="1">IF($C214-W$1&lt;År1,0,V213*(1-VLOOKUP($A214,[1]Hugst!$R$5:$W$9,MATCH(ROUNDUP((W$1)/10,0)*10,[1]Hugst!$R$4:$W$4,0))))</f>
        <v>0</v>
      </c>
      <c r="X214">
        <f ca="1">IF($C214-X$1&lt;År1,0,W213*(1-VLOOKUP($A214,[1]Hugst!$R$5:$W$9,MATCH(ROUNDUP((X$1)/10,0)*10,[1]Hugst!$R$4:$W$4,0))))</f>
        <v>0</v>
      </c>
      <c r="Y214">
        <f ca="1">IF($C214-Y$1&lt;År1,0,X213*(1-VLOOKUP($A214,[1]Hugst!$R$5:$W$9,MATCH(ROUNDUP((Y$1)/10,0)*10,[1]Hugst!$R$4:$W$4,0))))</f>
        <v>0</v>
      </c>
      <c r="Z214">
        <f ca="1">IF($C214-Z$1&lt;År1,0,Y213*(1-VLOOKUP($A214,[1]Hugst!$R$5:$W$9,MATCH(ROUNDUP((Z$1)/10,0)*10,[1]Hugst!$R$4:$W$4,0))))</f>
        <v>0</v>
      </c>
      <c r="AA214">
        <f ca="1">IF($C214-AA$1&lt;År1,0,Z213*(1-VLOOKUP($A214,[1]Hugst!$R$5:$W$9,MATCH(ROUNDUP((AA$1)/10,0)*10,[1]Hugst!$R$4:$W$4,0))))</f>
        <v>0</v>
      </c>
      <c r="AB214">
        <f ca="1">IF($C214-AB$1&lt;År1,0,AA213*(1-VLOOKUP($A214,[1]Hugst!$R$5:$W$9,MATCH(ROUNDUP((AB$1)/10,0)*10,[1]Hugst!$R$4:$W$4,0))))</f>
        <v>0</v>
      </c>
      <c r="AC214">
        <f ca="1">IF($C214-AC$1&lt;År1,0,AB213*(1-VLOOKUP($A214,[1]Hugst!$R$5:$W$9,MATCH(ROUNDUP((AC$1)/10,0)*10,[1]Hugst!$R$4:$W$4,0))))</f>
        <v>0</v>
      </c>
      <c r="AD214">
        <f ca="1">IF($C214-AD$1&lt;År1,0,AC213*(1-VLOOKUP($A214,[1]Hugst!$R$5:$W$9,MATCH(ROUNDUP((AD$1)/10,0)*10,[1]Hugst!$R$4:$W$4,0))))</f>
        <v>0</v>
      </c>
      <c r="AE214">
        <f ca="1">IF($C214-AE$1&lt;År1,0,AD213*(1-VLOOKUP($A214,[1]Hugst!$R$5:$W$9,MATCH(ROUNDUP((AE$1)/10,0)*10,[1]Hugst!$R$4:$W$4,0))))</f>
        <v>0</v>
      </c>
      <c r="AF214">
        <f ca="1">IF($C214-AF$1&lt;År1,0,AE213*(1-VLOOKUP($A214,[1]Hugst!$R$5:$W$9,MATCH(ROUNDUP((AF$1)/10,0)*10,[1]Hugst!$R$4:$W$4,0))))</f>
        <v>0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0</v>
      </c>
      <c r="E215">
        <f t="shared" ca="1" si="4"/>
        <v>0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>
        <f ca="1">IF($C215-G$1&lt;År1,0,F214*(1-VLOOKUP($A215,[1]Hugst!$R$5:$W$9,MATCH(ROUNDUP((G$1)/10,0)*10,[1]Hugst!$R$4:$W$4,0))))</f>
        <v>0</v>
      </c>
      <c r="H215">
        <f ca="1">IF($C215-H$1&lt;År1,0,G214*(1-VLOOKUP($A215,[1]Hugst!$R$5:$W$9,MATCH(ROUNDUP((H$1)/10,0)*10,[1]Hugst!$R$4:$W$4,0))))</f>
        <v>0</v>
      </c>
      <c r="I215">
        <f ca="1">IF($C215-I$1&lt;År1,0,H214*(1-VLOOKUP($A215,[1]Hugst!$R$5:$W$9,MATCH(ROUNDUP((I$1)/10,0)*10,[1]Hugst!$R$4:$W$4,0))))</f>
        <v>0</v>
      </c>
      <c r="J215">
        <f ca="1">IF($C215-J$1&lt;År1,0,I214*(1-VLOOKUP($A215,[1]Hugst!$R$5:$W$9,MATCH(ROUNDUP((J$1)/10,0)*10,[1]Hugst!$R$4:$W$4,0))))</f>
        <v>0</v>
      </c>
      <c r="K215">
        <f ca="1">IF($C215-K$1&lt;År1,0,J214*(1-VLOOKUP($A215,[1]Hugst!$R$5:$W$9,MATCH(ROUNDUP((K$1)/10,0)*10,[1]Hugst!$R$4:$W$4,0))))</f>
        <v>0</v>
      </c>
      <c r="L215">
        <f ca="1">IF($C215-L$1&lt;År1,0,K214*(1-VLOOKUP($A215,[1]Hugst!$R$5:$W$9,MATCH(ROUNDUP((L$1)/10,0)*10,[1]Hugst!$R$4:$W$4,0))))</f>
        <v>0</v>
      </c>
      <c r="M215">
        <f ca="1">IF($C215-M$1&lt;År1,0,L214*(1-VLOOKUP($A215,[1]Hugst!$R$5:$W$9,MATCH(ROUNDUP((M$1)/10,0)*10,[1]Hugst!$R$4:$W$4,0))))</f>
        <v>0</v>
      </c>
      <c r="N215">
        <f ca="1">IF($C215-N$1&lt;År1,0,M214*(1-VLOOKUP($A215,[1]Hugst!$R$5:$W$9,MATCH(ROUNDUP((N$1)/10,0)*10,[1]Hugst!$R$4:$W$4,0))))</f>
        <v>0</v>
      </c>
      <c r="O215">
        <f ca="1">IF($C215-O$1&lt;År1,0,N214*(1-VLOOKUP($A215,[1]Hugst!$R$5:$W$9,MATCH(ROUNDUP((O$1)/10,0)*10,[1]Hugst!$R$4:$W$4,0))))</f>
        <v>0</v>
      </c>
      <c r="P215">
        <f ca="1">IF($C215-P$1&lt;År1,0,O214*(1-VLOOKUP($A215,[1]Hugst!$R$5:$W$9,MATCH(ROUNDUP((P$1)/10,0)*10,[1]Hugst!$R$4:$W$4,0))))</f>
        <v>0</v>
      </c>
      <c r="Q215">
        <f ca="1">IF($C215-Q$1&lt;År1,0,P214*(1-VLOOKUP($A215,[1]Hugst!$R$5:$W$9,MATCH(ROUNDUP((Q$1)/10,0)*10,[1]Hugst!$R$4:$W$4,0))))</f>
        <v>0</v>
      </c>
      <c r="R215">
        <f ca="1">IF($C215-R$1&lt;År1,0,Q214*(1-VLOOKUP($A215,[1]Hugst!$R$5:$W$9,MATCH(ROUNDUP((R$1)/10,0)*10,[1]Hugst!$R$4:$W$4,0))))</f>
        <v>0</v>
      </c>
      <c r="S215">
        <f ca="1">IF($C215-S$1&lt;År1,0,R214*(1-VLOOKUP($A215,[1]Hugst!$R$5:$W$9,MATCH(ROUNDUP((S$1)/10,0)*10,[1]Hugst!$R$4:$W$4,0))))</f>
        <v>0</v>
      </c>
      <c r="T215">
        <f ca="1">IF($C215-T$1&lt;År1,0,S214*(1-VLOOKUP($A215,[1]Hugst!$R$5:$W$9,MATCH(ROUNDUP((T$1)/10,0)*10,[1]Hugst!$R$4:$W$4,0))))</f>
        <v>0</v>
      </c>
      <c r="U215">
        <f ca="1">IF($C215-U$1&lt;År1,0,T214*(1-VLOOKUP($A215,[1]Hugst!$R$5:$W$9,MATCH(ROUNDUP((U$1)/10,0)*10,[1]Hugst!$R$4:$W$4,0))))</f>
        <v>0</v>
      </c>
      <c r="V215">
        <f ca="1">IF($C215-V$1&lt;År1,0,U214*(1-VLOOKUP($A215,[1]Hugst!$R$5:$W$9,MATCH(ROUNDUP((V$1)/10,0)*10,[1]Hugst!$R$4:$W$4,0))))</f>
        <v>0</v>
      </c>
      <c r="W215">
        <f ca="1">IF($C215-W$1&lt;År1,0,V214*(1-VLOOKUP($A215,[1]Hugst!$R$5:$W$9,MATCH(ROUNDUP((W$1)/10,0)*10,[1]Hugst!$R$4:$W$4,0))))</f>
        <v>0</v>
      </c>
      <c r="X215">
        <f ca="1">IF($C215-X$1&lt;År1,0,W214*(1-VLOOKUP($A215,[1]Hugst!$R$5:$W$9,MATCH(ROUNDUP((X$1)/10,0)*10,[1]Hugst!$R$4:$W$4,0))))</f>
        <v>0</v>
      </c>
      <c r="Y215">
        <f ca="1">IF($C215-Y$1&lt;År1,0,X214*(1-VLOOKUP($A215,[1]Hugst!$R$5:$W$9,MATCH(ROUNDUP((Y$1)/10,0)*10,[1]Hugst!$R$4:$W$4,0))))</f>
        <v>0</v>
      </c>
      <c r="Z215">
        <f ca="1">IF($C215-Z$1&lt;År1,0,Y214*(1-VLOOKUP($A215,[1]Hugst!$R$5:$W$9,MATCH(ROUNDUP((Z$1)/10,0)*10,[1]Hugst!$R$4:$W$4,0))))</f>
        <v>0</v>
      </c>
      <c r="AA215">
        <f ca="1">IF($C215-AA$1&lt;År1,0,Z214*(1-VLOOKUP($A215,[1]Hugst!$R$5:$W$9,MATCH(ROUNDUP((AA$1)/10,0)*10,[1]Hugst!$R$4:$W$4,0))))</f>
        <v>0</v>
      </c>
      <c r="AB215">
        <f ca="1">IF($C215-AB$1&lt;År1,0,AA214*(1-VLOOKUP($A215,[1]Hugst!$R$5:$W$9,MATCH(ROUNDUP((AB$1)/10,0)*10,[1]Hugst!$R$4:$W$4,0))))</f>
        <v>0</v>
      </c>
      <c r="AC215">
        <f ca="1">IF($C215-AC$1&lt;År1,0,AB214*(1-VLOOKUP($A215,[1]Hugst!$R$5:$W$9,MATCH(ROUNDUP((AC$1)/10,0)*10,[1]Hugst!$R$4:$W$4,0))))</f>
        <v>0</v>
      </c>
      <c r="AD215">
        <f ca="1">IF($C215-AD$1&lt;År1,0,AC214*(1-VLOOKUP($A215,[1]Hugst!$R$5:$W$9,MATCH(ROUNDUP((AD$1)/10,0)*10,[1]Hugst!$R$4:$W$4,0))))</f>
        <v>0</v>
      </c>
      <c r="AE215">
        <f ca="1">IF($C215-AE$1&lt;År1,0,AD214*(1-VLOOKUP($A215,[1]Hugst!$R$5:$W$9,MATCH(ROUNDUP((AE$1)/10,0)*10,[1]Hugst!$R$4:$W$4,0))))</f>
        <v>0</v>
      </c>
      <c r="AF215">
        <f ca="1">IF($C215-AF$1&lt;År1,0,AE214*(1-VLOOKUP($A215,[1]Hugst!$R$5:$W$9,MATCH(ROUNDUP((AF$1)/10,0)*10,[1]Hugst!$R$4:$W$4,0))))</f>
        <v>0</v>
      </c>
      <c r="AG215">
        <f ca="1">IF($C215-AG$1&lt;År1,0,AF214*(1-VLOOKUP($A215,[1]Hugst!$R$5:$W$9,MATCH(ROUNDUP((AG$1)/10,0)*10,[1]Hugst!$R$4:$W$4,0))))</f>
        <v>0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0</v>
      </c>
      <c r="E216">
        <f t="shared" ca="1" si="4"/>
        <v>0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>
        <f ca="1">IF($C216-G$1&lt;År1,0,F215*(1-VLOOKUP($A216,[1]Hugst!$R$5:$W$9,MATCH(ROUNDUP((G$1)/10,0)*10,[1]Hugst!$R$4:$W$4,0))))</f>
        <v>0</v>
      </c>
      <c r="H216">
        <f ca="1">IF($C216-H$1&lt;År1,0,G215*(1-VLOOKUP($A216,[1]Hugst!$R$5:$W$9,MATCH(ROUNDUP((H$1)/10,0)*10,[1]Hugst!$R$4:$W$4,0))))</f>
        <v>0</v>
      </c>
      <c r="I216">
        <f ca="1">IF($C216-I$1&lt;År1,0,H215*(1-VLOOKUP($A216,[1]Hugst!$R$5:$W$9,MATCH(ROUNDUP((I$1)/10,0)*10,[1]Hugst!$R$4:$W$4,0))))</f>
        <v>0</v>
      </c>
      <c r="J216">
        <f ca="1">IF($C216-J$1&lt;År1,0,I215*(1-VLOOKUP($A216,[1]Hugst!$R$5:$W$9,MATCH(ROUNDUP((J$1)/10,0)*10,[1]Hugst!$R$4:$W$4,0))))</f>
        <v>0</v>
      </c>
      <c r="K216">
        <f ca="1">IF($C216-K$1&lt;År1,0,J215*(1-VLOOKUP($A216,[1]Hugst!$R$5:$W$9,MATCH(ROUNDUP((K$1)/10,0)*10,[1]Hugst!$R$4:$W$4,0))))</f>
        <v>0</v>
      </c>
      <c r="L216">
        <f ca="1">IF($C216-L$1&lt;År1,0,K215*(1-VLOOKUP($A216,[1]Hugst!$R$5:$W$9,MATCH(ROUNDUP((L$1)/10,0)*10,[1]Hugst!$R$4:$W$4,0))))</f>
        <v>0</v>
      </c>
      <c r="M216">
        <f ca="1">IF($C216-M$1&lt;År1,0,L215*(1-VLOOKUP($A216,[1]Hugst!$R$5:$W$9,MATCH(ROUNDUP((M$1)/10,0)*10,[1]Hugst!$R$4:$W$4,0))))</f>
        <v>0</v>
      </c>
      <c r="N216">
        <f ca="1">IF($C216-N$1&lt;År1,0,M215*(1-VLOOKUP($A216,[1]Hugst!$R$5:$W$9,MATCH(ROUNDUP((N$1)/10,0)*10,[1]Hugst!$R$4:$W$4,0))))</f>
        <v>0</v>
      </c>
      <c r="O216">
        <f ca="1">IF($C216-O$1&lt;År1,0,N215*(1-VLOOKUP($A216,[1]Hugst!$R$5:$W$9,MATCH(ROUNDUP((O$1)/10,0)*10,[1]Hugst!$R$4:$W$4,0))))</f>
        <v>0</v>
      </c>
      <c r="P216">
        <f ca="1">IF($C216-P$1&lt;År1,0,O215*(1-VLOOKUP($A216,[1]Hugst!$R$5:$W$9,MATCH(ROUNDUP((P$1)/10,0)*10,[1]Hugst!$R$4:$W$4,0))))</f>
        <v>0</v>
      </c>
      <c r="Q216">
        <f ca="1">IF($C216-Q$1&lt;År1,0,P215*(1-VLOOKUP($A216,[1]Hugst!$R$5:$W$9,MATCH(ROUNDUP((Q$1)/10,0)*10,[1]Hugst!$R$4:$W$4,0))))</f>
        <v>0</v>
      </c>
      <c r="R216">
        <f ca="1">IF($C216-R$1&lt;År1,0,Q215*(1-VLOOKUP($A216,[1]Hugst!$R$5:$W$9,MATCH(ROUNDUP((R$1)/10,0)*10,[1]Hugst!$R$4:$W$4,0))))</f>
        <v>0</v>
      </c>
      <c r="S216">
        <f ca="1">IF($C216-S$1&lt;År1,0,R215*(1-VLOOKUP($A216,[1]Hugst!$R$5:$W$9,MATCH(ROUNDUP((S$1)/10,0)*10,[1]Hugst!$R$4:$W$4,0))))</f>
        <v>0</v>
      </c>
      <c r="T216">
        <f ca="1">IF($C216-T$1&lt;År1,0,S215*(1-VLOOKUP($A216,[1]Hugst!$R$5:$W$9,MATCH(ROUNDUP((T$1)/10,0)*10,[1]Hugst!$R$4:$W$4,0))))</f>
        <v>0</v>
      </c>
      <c r="U216">
        <f ca="1">IF($C216-U$1&lt;År1,0,T215*(1-VLOOKUP($A216,[1]Hugst!$R$5:$W$9,MATCH(ROUNDUP((U$1)/10,0)*10,[1]Hugst!$R$4:$W$4,0))))</f>
        <v>0</v>
      </c>
      <c r="V216">
        <f ca="1">IF($C216-V$1&lt;År1,0,U215*(1-VLOOKUP($A216,[1]Hugst!$R$5:$W$9,MATCH(ROUNDUP((V$1)/10,0)*10,[1]Hugst!$R$4:$W$4,0))))</f>
        <v>0</v>
      </c>
      <c r="W216">
        <f ca="1">IF($C216-W$1&lt;År1,0,V215*(1-VLOOKUP($A216,[1]Hugst!$R$5:$W$9,MATCH(ROUNDUP((W$1)/10,0)*10,[1]Hugst!$R$4:$W$4,0))))</f>
        <v>0</v>
      </c>
      <c r="X216">
        <f ca="1">IF($C216-X$1&lt;År1,0,W215*(1-VLOOKUP($A216,[1]Hugst!$R$5:$W$9,MATCH(ROUNDUP((X$1)/10,0)*10,[1]Hugst!$R$4:$W$4,0))))</f>
        <v>0</v>
      </c>
      <c r="Y216">
        <f ca="1">IF($C216-Y$1&lt;År1,0,X215*(1-VLOOKUP($A216,[1]Hugst!$R$5:$W$9,MATCH(ROUNDUP((Y$1)/10,0)*10,[1]Hugst!$R$4:$W$4,0))))</f>
        <v>0</v>
      </c>
      <c r="Z216">
        <f ca="1">IF($C216-Z$1&lt;År1,0,Y215*(1-VLOOKUP($A216,[1]Hugst!$R$5:$W$9,MATCH(ROUNDUP((Z$1)/10,0)*10,[1]Hugst!$R$4:$W$4,0))))</f>
        <v>0</v>
      </c>
      <c r="AA216">
        <f ca="1">IF($C216-AA$1&lt;År1,0,Z215*(1-VLOOKUP($A216,[1]Hugst!$R$5:$W$9,MATCH(ROUNDUP((AA$1)/10,0)*10,[1]Hugst!$R$4:$W$4,0))))</f>
        <v>0</v>
      </c>
      <c r="AB216">
        <f ca="1">IF($C216-AB$1&lt;År1,0,AA215*(1-VLOOKUP($A216,[1]Hugst!$R$5:$W$9,MATCH(ROUNDUP((AB$1)/10,0)*10,[1]Hugst!$R$4:$W$4,0))))</f>
        <v>0</v>
      </c>
      <c r="AC216">
        <f ca="1">IF($C216-AC$1&lt;År1,0,AB215*(1-VLOOKUP($A216,[1]Hugst!$R$5:$W$9,MATCH(ROUNDUP((AC$1)/10,0)*10,[1]Hugst!$R$4:$W$4,0))))</f>
        <v>0</v>
      </c>
      <c r="AD216">
        <f ca="1">IF($C216-AD$1&lt;År1,0,AC215*(1-VLOOKUP($A216,[1]Hugst!$R$5:$W$9,MATCH(ROUNDUP((AD$1)/10,0)*10,[1]Hugst!$R$4:$W$4,0))))</f>
        <v>0</v>
      </c>
      <c r="AE216">
        <f ca="1">IF($C216-AE$1&lt;År1,0,AD215*(1-VLOOKUP($A216,[1]Hugst!$R$5:$W$9,MATCH(ROUNDUP((AE$1)/10,0)*10,[1]Hugst!$R$4:$W$4,0))))</f>
        <v>0</v>
      </c>
      <c r="AF216">
        <f ca="1">IF($C216-AF$1&lt;År1,0,AE215*(1-VLOOKUP($A216,[1]Hugst!$R$5:$W$9,MATCH(ROUNDUP((AF$1)/10,0)*10,[1]Hugst!$R$4:$W$4,0))))</f>
        <v>0</v>
      </c>
      <c r="AG216">
        <f ca="1">IF($C216-AG$1&lt;År1,0,AF215*(1-VLOOKUP($A216,[1]Hugst!$R$5:$W$9,MATCH(ROUNDUP((AG$1)/10,0)*10,[1]Hugst!$R$4:$W$4,0))))</f>
        <v>0</v>
      </c>
      <c r="AH216">
        <f ca="1">IF($C216-AH$1&lt;År1,0,AG215*(1-VLOOKUP($A216,[1]Hugst!$R$5:$W$9,MATCH(ROUNDUP((AH$1)/10,0)*10,[1]Hugst!$R$4:$W$4,0))))</f>
        <v>0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0</v>
      </c>
      <c r="E217">
        <f t="shared" ca="1" si="4"/>
        <v>0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>
        <f ca="1">IF($C217-G$1&lt;År1,0,F216*(1-VLOOKUP($A217,[1]Hugst!$R$5:$W$9,MATCH(ROUNDUP((G$1)/10,0)*10,[1]Hugst!$R$4:$W$4,0))))</f>
        <v>0</v>
      </c>
      <c r="H217">
        <f ca="1">IF($C217-H$1&lt;År1,0,G216*(1-VLOOKUP($A217,[1]Hugst!$R$5:$W$9,MATCH(ROUNDUP((H$1)/10,0)*10,[1]Hugst!$R$4:$W$4,0))))</f>
        <v>0</v>
      </c>
      <c r="I217">
        <f ca="1">IF($C217-I$1&lt;År1,0,H216*(1-VLOOKUP($A217,[1]Hugst!$R$5:$W$9,MATCH(ROUNDUP((I$1)/10,0)*10,[1]Hugst!$R$4:$W$4,0))))</f>
        <v>0</v>
      </c>
      <c r="J217">
        <f ca="1">IF($C217-J$1&lt;År1,0,I216*(1-VLOOKUP($A217,[1]Hugst!$R$5:$W$9,MATCH(ROUNDUP((J$1)/10,0)*10,[1]Hugst!$R$4:$W$4,0))))</f>
        <v>0</v>
      </c>
      <c r="K217">
        <f ca="1">IF($C217-K$1&lt;År1,0,J216*(1-VLOOKUP($A217,[1]Hugst!$R$5:$W$9,MATCH(ROUNDUP((K$1)/10,0)*10,[1]Hugst!$R$4:$W$4,0))))</f>
        <v>0</v>
      </c>
      <c r="L217">
        <f ca="1">IF($C217-L$1&lt;År1,0,K216*(1-VLOOKUP($A217,[1]Hugst!$R$5:$W$9,MATCH(ROUNDUP((L$1)/10,0)*10,[1]Hugst!$R$4:$W$4,0))))</f>
        <v>0</v>
      </c>
      <c r="M217">
        <f ca="1">IF($C217-M$1&lt;År1,0,L216*(1-VLOOKUP($A217,[1]Hugst!$R$5:$W$9,MATCH(ROUNDUP((M$1)/10,0)*10,[1]Hugst!$R$4:$W$4,0))))</f>
        <v>0</v>
      </c>
      <c r="N217">
        <f ca="1">IF($C217-N$1&lt;År1,0,M216*(1-VLOOKUP($A217,[1]Hugst!$R$5:$W$9,MATCH(ROUNDUP((N$1)/10,0)*10,[1]Hugst!$R$4:$W$4,0))))</f>
        <v>0</v>
      </c>
      <c r="O217">
        <f ca="1">IF($C217-O$1&lt;År1,0,N216*(1-VLOOKUP($A217,[1]Hugst!$R$5:$W$9,MATCH(ROUNDUP((O$1)/10,0)*10,[1]Hugst!$R$4:$W$4,0))))</f>
        <v>0</v>
      </c>
      <c r="P217">
        <f ca="1">IF($C217-P$1&lt;År1,0,O216*(1-VLOOKUP($A217,[1]Hugst!$R$5:$W$9,MATCH(ROUNDUP((P$1)/10,0)*10,[1]Hugst!$R$4:$W$4,0))))</f>
        <v>0</v>
      </c>
      <c r="Q217">
        <f ca="1">IF($C217-Q$1&lt;År1,0,P216*(1-VLOOKUP($A217,[1]Hugst!$R$5:$W$9,MATCH(ROUNDUP((Q$1)/10,0)*10,[1]Hugst!$R$4:$W$4,0))))</f>
        <v>0</v>
      </c>
      <c r="R217">
        <f ca="1">IF($C217-R$1&lt;År1,0,Q216*(1-VLOOKUP($A217,[1]Hugst!$R$5:$W$9,MATCH(ROUNDUP((R$1)/10,0)*10,[1]Hugst!$R$4:$W$4,0))))</f>
        <v>0</v>
      </c>
      <c r="S217">
        <f ca="1">IF($C217-S$1&lt;År1,0,R216*(1-VLOOKUP($A217,[1]Hugst!$R$5:$W$9,MATCH(ROUNDUP((S$1)/10,0)*10,[1]Hugst!$R$4:$W$4,0))))</f>
        <v>0</v>
      </c>
      <c r="T217">
        <f ca="1">IF($C217-T$1&lt;År1,0,S216*(1-VLOOKUP($A217,[1]Hugst!$R$5:$W$9,MATCH(ROUNDUP((T$1)/10,0)*10,[1]Hugst!$R$4:$W$4,0))))</f>
        <v>0</v>
      </c>
      <c r="U217">
        <f ca="1">IF($C217-U$1&lt;År1,0,T216*(1-VLOOKUP($A217,[1]Hugst!$R$5:$W$9,MATCH(ROUNDUP((U$1)/10,0)*10,[1]Hugst!$R$4:$W$4,0))))</f>
        <v>0</v>
      </c>
      <c r="V217">
        <f ca="1">IF($C217-V$1&lt;År1,0,U216*(1-VLOOKUP($A217,[1]Hugst!$R$5:$W$9,MATCH(ROUNDUP((V$1)/10,0)*10,[1]Hugst!$R$4:$W$4,0))))</f>
        <v>0</v>
      </c>
      <c r="W217">
        <f ca="1">IF($C217-W$1&lt;År1,0,V216*(1-VLOOKUP($A217,[1]Hugst!$R$5:$W$9,MATCH(ROUNDUP((W$1)/10,0)*10,[1]Hugst!$R$4:$W$4,0))))</f>
        <v>0</v>
      </c>
      <c r="X217">
        <f ca="1">IF($C217-X$1&lt;År1,0,W216*(1-VLOOKUP($A217,[1]Hugst!$R$5:$W$9,MATCH(ROUNDUP((X$1)/10,0)*10,[1]Hugst!$R$4:$W$4,0))))</f>
        <v>0</v>
      </c>
      <c r="Y217">
        <f ca="1">IF($C217-Y$1&lt;År1,0,X216*(1-VLOOKUP($A217,[1]Hugst!$R$5:$W$9,MATCH(ROUNDUP((Y$1)/10,0)*10,[1]Hugst!$R$4:$W$4,0))))</f>
        <v>0</v>
      </c>
      <c r="Z217">
        <f ca="1">IF($C217-Z$1&lt;År1,0,Y216*(1-VLOOKUP($A217,[1]Hugst!$R$5:$W$9,MATCH(ROUNDUP((Z$1)/10,0)*10,[1]Hugst!$R$4:$W$4,0))))</f>
        <v>0</v>
      </c>
      <c r="AA217">
        <f ca="1">IF($C217-AA$1&lt;År1,0,Z216*(1-VLOOKUP($A217,[1]Hugst!$R$5:$W$9,MATCH(ROUNDUP((AA$1)/10,0)*10,[1]Hugst!$R$4:$W$4,0))))</f>
        <v>0</v>
      </c>
      <c r="AB217">
        <f ca="1">IF($C217-AB$1&lt;År1,0,AA216*(1-VLOOKUP($A217,[1]Hugst!$R$5:$W$9,MATCH(ROUNDUP((AB$1)/10,0)*10,[1]Hugst!$R$4:$W$4,0))))</f>
        <v>0</v>
      </c>
      <c r="AC217">
        <f ca="1">IF($C217-AC$1&lt;År1,0,AB216*(1-VLOOKUP($A217,[1]Hugst!$R$5:$W$9,MATCH(ROUNDUP((AC$1)/10,0)*10,[1]Hugst!$R$4:$W$4,0))))</f>
        <v>0</v>
      </c>
      <c r="AD217">
        <f ca="1">IF($C217-AD$1&lt;År1,0,AC216*(1-VLOOKUP($A217,[1]Hugst!$R$5:$W$9,MATCH(ROUNDUP((AD$1)/10,0)*10,[1]Hugst!$R$4:$W$4,0))))</f>
        <v>0</v>
      </c>
      <c r="AE217">
        <f ca="1">IF($C217-AE$1&lt;År1,0,AD216*(1-VLOOKUP($A217,[1]Hugst!$R$5:$W$9,MATCH(ROUNDUP((AE$1)/10,0)*10,[1]Hugst!$R$4:$W$4,0))))</f>
        <v>0</v>
      </c>
      <c r="AF217">
        <f ca="1">IF($C217-AF$1&lt;År1,0,AE216*(1-VLOOKUP($A217,[1]Hugst!$R$5:$W$9,MATCH(ROUNDUP((AF$1)/10,0)*10,[1]Hugst!$R$4:$W$4,0))))</f>
        <v>0</v>
      </c>
      <c r="AG217">
        <f ca="1">IF($C217-AG$1&lt;År1,0,AF216*(1-VLOOKUP($A217,[1]Hugst!$R$5:$W$9,MATCH(ROUNDUP((AG$1)/10,0)*10,[1]Hugst!$R$4:$W$4,0))))</f>
        <v>0</v>
      </c>
      <c r="AH217">
        <f ca="1">IF($C217-AH$1&lt;År1,0,AG216*(1-VLOOKUP($A217,[1]Hugst!$R$5:$W$9,MATCH(ROUNDUP((AH$1)/10,0)*10,[1]Hugst!$R$4:$W$4,0))))</f>
        <v>0</v>
      </c>
      <c r="AI217">
        <f ca="1">IF($C217-AI$1&lt;År1,0,AH216*(1-VLOOKUP($A217,[1]Hugst!$R$5:$W$9,MATCH(ROUNDUP((AI$1)/10,0)*10,[1]Hugst!$R$4:$W$4,0))))</f>
        <v>0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0</v>
      </c>
      <c r="E218">
        <f t="shared" ca="1" si="4"/>
        <v>0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>
        <f ca="1">IF($C218-G$1&lt;År1,0,F217*(1-VLOOKUP($A218,[1]Hugst!$R$5:$W$9,MATCH(ROUNDUP((G$1)/10,0)*10,[1]Hugst!$R$4:$W$4,0))))</f>
        <v>0</v>
      </c>
      <c r="H218">
        <f ca="1">IF($C218-H$1&lt;År1,0,G217*(1-VLOOKUP($A218,[1]Hugst!$R$5:$W$9,MATCH(ROUNDUP((H$1)/10,0)*10,[1]Hugst!$R$4:$W$4,0))))</f>
        <v>0</v>
      </c>
      <c r="I218">
        <f ca="1">IF($C218-I$1&lt;År1,0,H217*(1-VLOOKUP($A218,[1]Hugst!$R$5:$W$9,MATCH(ROUNDUP((I$1)/10,0)*10,[1]Hugst!$R$4:$W$4,0))))</f>
        <v>0</v>
      </c>
      <c r="J218">
        <f ca="1">IF($C218-J$1&lt;År1,0,I217*(1-VLOOKUP($A218,[1]Hugst!$R$5:$W$9,MATCH(ROUNDUP((J$1)/10,0)*10,[1]Hugst!$R$4:$W$4,0))))</f>
        <v>0</v>
      </c>
      <c r="K218">
        <f ca="1">IF($C218-K$1&lt;År1,0,J217*(1-VLOOKUP($A218,[1]Hugst!$R$5:$W$9,MATCH(ROUNDUP((K$1)/10,0)*10,[1]Hugst!$R$4:$W$4,0))))</f>
        <v>0</v>
      </c>
      <c r="L218">
        <f ca="1">IF($C218-L$1&lt;År1,0,K217*(1-VLOOKUP($A218,[1]Hugst!$R$5:$W$9,MATCH(ROUNDUP((L$1)/10,0)*10,[1]Hugst!$R$4:$W$4,0))))</f>
        <v>0</v>
      </c>
      <c r="M218">
        <f ca="1">IF($C218-M$1&lt;År1,0,L217*(1-VLOOKUP($A218,[1]Hugst!$R$5:$W$9,MATCH(ROUNDUP((M$1)/10,0)*10,[1]Hugst!$R$4:$W$4,0))))</f>
        <v>0</v>
      </c>
      <c r="N218">
        <f ca="1">IF($C218-N$1&lt;År1,0,M217*(1-VLOOKUP($A218,[1]Hugst!$R$5:$W$9,MATCH(ROUNDUP((N$1)/10,0)*10,[1]Hugst!$R$4:$W$4,0))))</f>
        <v>0</v>
      </c>
      <c r="O218">
        <f ca="1">IF($C218-O$1&lt;År1,0,N217*(1-VLOOKUP($A218,[1]Hugst!$R$5:$W$9,MATCH(ROUNDUP((O$1)/10,0)*10,[1]Hugst!$R$4:$W$4,0))))</f>
        <v>0</v>
      </c>
      <c r="P218">
        <f ca="1">IF($C218-P$1&lt;År1,0,O217*(1-VLOOKUP($A218,[1]Hugst!$R$5:$W$9,MATCH(ROUNDUP((P$1)/10,0)*10,[1]Hugst!$R$4:$W$4,0))))</f>
        <v>0</v>
      </c>
      <c r="Q218">
        <f ca="1">IF($C218-Q$1&lt;År1,0,P217*(1-VLOOKUP($A218,[1]Hugst!$R$5:$W$9,MATCH(ROUNDUP((Q$1)/10,0)*10,[1]Hugst!$R$4:$W$4,0))))</f>
        <v>0</v>
      </c>
      <c r="R218">
        <f ca="1">IF($C218-R$1&lt;År1,0,Q217*(1-VLOOKUP($A218,[1]Hugst!$R$5:$W$9,MATCH(ROUNDUP((R$1)/10,0)*10,[1]Hugst!$R$4:$W$4,0))))</f>
        <v>0</v>
      </c>
      <c r="S218">
        <f ca="1">IF($C218-S$1&lt;År1,0,R217*(1-VLOOKUP($A218,[1]Hugst!$R$5:$W$9,MATCH(ROUNDUP((S$1)/10,0)*10,[1]Hugst!$R$4:$W$4,0))))</f>
        <v>0</v>
      </c>
      <c r="T218">
        <f ca="1">IF($C218-T$1&lt;År1,0,S217*(1-VLOOKUP($A218,[1]Hugst!$R$5:$W$9,MATCH(ROUNDUP((T$1)/10,0)*10,[1]Hugst!$R$4:$W$4,0))))</f>
        <v>0</v>
      </c>
      <c r="U218">
        <f ca="1">IF($C218-U$1&lt;År1,0,T217*(1-VLOOKUP($A218,[1]Hugst!$R$5:$W$9,MATCH(ROUNDUP((U$1)/10,0)*10,[1]Hugst!$R$4:$W$4,0))))</f>
        <v>0</v>
      </c>
      <c r="V218">
        <f ca="1">IF($C218-V$1&lt;År1,0,U217*(1-VLOOKUP($A218,[1]Hugst!$R$5:$W$9,MATCH(ROUNDUP((V$1)/10,0)*10,[1]Hugst!$R$4:$W$4,0))))</f>
        <v>0</v>
      </c>
      <c r="W218">
        <f ca="1">IF($C218-W$1&lt;År1,0,V217*(1-VLOOKUP($A218,[1]Hugst!$R$5:$W$9,MATCH(ROUNDUP((W$1)/10,0)*10,[1]Hugst!$R$4:$W$4,0))))</f>
        <v>0</v>
      </c>
      <c r="X218">
        <f ca="1">IF($C218-X$1&lt;År1,0,W217*(1-VLOOKUP($A218,[1]Hugst!$R$5:$W$9,MATCH(ROUNDUP((X$1)/10,0)*10,[1]Hugst!$R$4:$W$4,0))))</f>
        <v>0</v>
      </c>
      <c r="Y218">
        <f ca="1">IF($C218-Y$1&lt;År1,0,X217*(1-VLOOKUP($A218,[1]Hugst!$R$5:$W$9,MATCH(ROUNDUP((Y$1)/10,0)*10,[1]Hugst!$R$4:$W$4,0))))</f>
        <v>0</v>
      </c>
      <c r="Z218">
        <f ca="1">IF($C218-Z$1&lt;År1,0,Y217*(1-VLOOKUP($A218,[1]Hugst!$R$5:$W$9,MATCH(ROUNDUP((Z$1)/10,0)*10,[1]Hugst!$R$4:$W$4,0))))</f>
        <v>0</v>
      </c>
      <c r="AA218">
        <f ca="1">IF($C218-AA$1&lt;År1,0,Z217*(1-VLOOKUP($A218,[1]Hugst!$R$5:$W$9,MATCH(ROUNDUP((AA$1)/10,0)*10,[1]Hugst!$R$4:$W$4,0))))</f>
        <v>0</v>
      </c>
      <c r="AB218">
        <f ca="1">IF($C218-AB$1&lt;År1,0,AA217*(1-VLOOKUP($A218,[1]Hugst!$R$5:$W$9,MATCH(ROUNDUP((AB$1)/10,0)*10,[1]Hugst!$R$4:$W$4,0))))</f>
        <v>0</v>
      </c>
      <c r="AC218">
        <f ca="1">IF($C218-AC$1&lt;År1,0,AB217*(1-VLOOKUP($A218,[1]Hugst!$R$5:$W$9,MATCH(ROUNDUP((AC$1)/10,0)*10,[1]Hugst!$R$4:$W$4,0))))</f>
        <v>0</v>
      </c>
      <c r="AD218">
        <f ca="1">IF($C218-AD$1&lt;År1,0,AC217*(1-VLOOKUP($A218,[1]Hugst!$R$5:$W$9,MATCH(ROUNDUP((AD$1)/10,0)*10,[1]Hugst!$R$4:$W$4,0))))</f>
        <v>0</v>
      </c>
      <c r="AE218">
        <f ca="1">IF($C218-AE$1&lt;År1,0,AD217*(1-VLOOKUP($A218,[1]Hugst!$R$5:$W$9,MATCH(ROUNDUP((AE$1)/10,0)*10,[1]Hugst!$R$4:$W$4,0))))</f>
        <v>0</v>
      </c>
      <c r="AF218">
        <f ca="1">IF($C218-AF$1&lt;År1,0,AE217*(1-VLOOKUP($A218,[1]Hugst!$R$5:$W$9,MATCH(ROUNDUP((AF$1)/10,0)*10,[1]Hugst!$R$4:$W$4,0))))</f>
        <v>0</v>
      </c>
      <c r="AG218">
        <f ca="1">IF($C218-AG$1&lt;År1,0,AF217*(1-VLOOKUP($A218,[1]Hugst!$R$5:$W$9,MATCH(ROUNDUP((AG$1)/10,0)*10,[1]Hugst!$R$4:$W$4,0))))</f>
        <v>0</v>
      </c>
      <c r="AH218">
        <f ca="1">IF($C218-AH$1&lt;År1,0,AG217*(1-VLOOKUP($A218,[1]Hugst!$R$5:$W$9,MATCH(ROUNDUP((AH$1)/10,0)*10,[1]Hugst!$R$4:$W$4,0))))</f>
        <v>0</v>
      </c>
      <c r="AI218">
        <f ca="1">IF($C218-AI$1&lt;År1,0,AH217*(1-VLOOKUP($A218,[1]Hugst!$R$5:$W$9,MATCH(ROUNDUP((AI$1)/10,0)*10,[1]Hugst!$R$4:$W$4,0))))</f>
        <v>0</v>
      </c>
      <c r="AJ218">
        <f ca="1">IF($C218-AJ$1&lt;År1,0,AI217*(1-VLOOKUP($A218,[1]Hugst!$R$5:$W$9,MATCH(ROUNDUP((AJ$1)/10,0)*10,[1]Hugst!$R$4:$W$4,0))))</f>
        <v>0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0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0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>
        <f ca="1">IF($C220-G$1&lt;År1,0,F219*(1-VLOOKUP($A220,[1]Hugst!$R$5:$W$9,MATCH(ROUNDUP((G$1)/10,0)*10,[1]Hugst!$R$4:$W$4,0))))</f>
        <v>0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0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>
        <f ca="1">IF($C221-G$1&lt;År1,0,F220*(1-VLOOKUP($A221,[1]Hugst!$R$5:$W$9,MATCH(ROUNDUP((G$1)/10,0)*10,[1]Hugst!$R$4:$W$4,0))))</f>
        <v>0</v>
      </c>
      <c r="H221">
        <f ca="1">IF($C221-H$1&lt;År1,0,G220*(1-VLOOKUP($A221,[1]Hugst!$R$5:$W$9,MATCH(ROUNDUP((H$1)/10,0)*10,[1]Hugst!$R$4:$W$4,0))))</f>
        <v>0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0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>
        <f ca="1">IF($C222-G$1&lt;År1,0,F221*(1-VLOOKUP($A222,[1]Hugst!$R$5:$W$9,MATCH(ROUNDUP((G$1)/10,0)*10,[1]Hugst!$R$4:$W$4,0))))</f>
        <v>0</v>
      </c>
      <c r="H222">
        <f ca="1">IF($C222-H$1&lt;År1,0,G221*(1-VLOOKUP($A222,[1]Hugst!$R$5:$W$9,MATCH(ROUNDUP((H$1)/10,0)*10,[1]Hugst!$R$4:$W$4,0))))</f>
        <v>0</v>
      </c>
      <c r="I222">
        <f ca="1">IF($C222-I$1&lt;År1,0,H221*(1-VLOOKUP($A222,[1]Hugst!$R$5:$W$9,MATCH(ROUNDUP((I$1)/10,0)*10,[1]Hugst!$R$4:$W$4,0))))</f>
        <v>0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0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>
        <f ca="1">IF($C223-G$1&lt;År1,0,F222*(1-VLOOKUP($A223,[1]Hugst!$R$5:$W$9,MATCH(ROUNDUP((G$1)/10,0)*10,[1]Hugst!$R$4:$W$4,0))))</f>
        <v>0</v>
      </c>
      <c r="H223">
        <f ca="1">IF($C223-H$1&lt;År1,0,G222*(1-VLOOKUP($A223,[1]Hugst!$R$5:$W$9,MATCH(ROUNDUP((H$1)/10,0)*10,[1]Hugst!$R$4:$W$4,0))))</f>
        <v>0</v>
      </c>
      <c r="I223">
        <f ca="1">IF($C223-I$1&lt;År1,0,H222*(1-VLOOKUP($A223,[1]Hugst!$R$5:$W$9,MATCH(ROUNDUP((I$1)/10,0)*10,[1]Hugst!$R$4:$W$4,0))))</f>
        <v>0</v>
      </c>
      <c r="J223">
        <f ca="1">IF($C223-J$1&lt;År1,0,I222*(1-VLOOKUP($A223,[1]Hugst!$R$5:$W$9,MATCH(ROUNDUP((J$1)/10,0)*10,[1]Hugst!$R$4:$W$4,0))))</f>
        <v>0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0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>
        <f ca="1">IF($C224-G$1&lt;År1,0,F223*(1-VLOOKUP($A224,[1]Hugst!$R$5:$W$9,MATCH(ROUNDUP((G$1)/10,0)*10,[1]Hugst!$R$4:$W$4,0))))</f>
        <v>0</v>
      </c>
      <c r="H224">
        <f ca="1">IF($C224-H$1&lt;År1,0,G223*(1-VLOOKUP($A224,[1]Hugst!$R$5:$W$9,MATCH(ROUNDUP((H$1)/10,0)*10,[1]Hugst!$R$4:$W$4,0))))</f>
        <v>0</v>
      </c>
      <c r="I224">
        <f ca="1">IF($C224-I$1&lt;År1,0,H223*(1-VLOOKUP($A224,[1]Hugst!$R$5:$W$9,MATCH(ROUNDUP((I$1)/10,0)*10,[1]Hugst!$R$4:$W$4,0))))</f>
        <v>0</v>
      </c>
      <c r="J224">
        <f ca="1">IF($C224-J$1&lt;År1,0,I223*(1-VLOOKUP($A224,[1]Hugst!$R$5:$W$9,MATCH(ROUNDUP((J$1)/10,0)*10,[1]Hugst!$R$4:$W$4,0))))</f>
        <v>0</v>
      </c>
      <c r="K224">
        <f ca="1">IF($C224-K$1&lt;År1,0,J223*(1-VLOOKUP($A224,[1]Hugst!$R$5:$W$9,MATCH(ROUNDUP((K$1)/10,0)*10,[1]Hugst!$R$4:$W$4,0))))</f>
        <v>0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0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>
        <f ca="1">IF($C225-G$1&lt;År1,0,F224*(1-VLOOKUP($A225,[1]Hugst!$R$5:$W$9,MATCH(ROUNDUP((G$1)/10,0)*10,[1]Hugst!$R$4:$W$4,0))))</f>
        <v>0</v>
      </c>
      <c r="H225">
        <f ca="1">IF($C225-H$1&lt;År1,0,G224*(1-VLOOKUP($A225,[1]Hugst!$R$5:$W$9,MATCH(ROUNDUP((H$1)/10,0)*10,[1]Hugst!$R$4:$W$4,0))))</f>
        <v>0</v>
      </c>
      <c r="I225">
        <f ca="1">IF($C225-I$1&lt;År1,0,H224*(1-VLOOKUP($A225,[1]Hugst!$R$5:$W$9,MATCH(ROUNDUP((I$1)/10,0)*10,[1]Hugst!$R$4:$W$4,0))))</f>
        <v>0</v>
      </c>
      <c r="J225">
        <f ca="1">IF($C225-J$1&lt;År1,0,I224*(1-VLOOKUP($A225,[1]Hugst!$R$5:$W$9,MATCH(ROUNDUP((J$1)/10,0)*10,[1]Hugst!$R$4:$W$4,0))))</f>
        <v>0</v>
      </c>
      <c r="K225">
        <f ca="1">IF($C225-K$1&lt;År1,0,J224*(1-VLOOKUP($A225,[1]Hugst!$R$5:$W$9,MATCH(ROUNDUP((K$1)/10,0)*10,[1]Hugst!$R$4:$W$4,0))))</f>
        <v>0</v>
      </c>
      <c r="L225">
        <f ca="1">IF($C225-L$1&lt;År1,0,K224*(1-VLOOKUP($A225,[1]Hugst!$R$5:$W$9,MATCH(ROUNDUP((L$1)/10,0)*10,[1]Hugst!$R$4:$W$4,0))))</f>
        <v>0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0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>
        <f ca="1">IF($C226-G$1&lt;År1,0,F225*(1-VLOOKUP($A226,[1]Hugst!$R$5:$W$9,MATCH(ROUNDUP((G$1)/10,0)*10,[1]Hugst!$R$4:$W$4,0))))</f>
        <v>0</v>
      </c>
      <c r="H226">
        <f ca="1">IF($C226-H$1&lt;År1,0,G225*(1-VLOOKUP($A226,[1]Hugst!$R$5:$W$9,MATCH(ROUNDUP((H$1)/10,0)*10,[1]Hugst!$R$4:$W$4,0))))</f>
        <v>0</v>
      </c>
      <c r="I226">
        <f ca="1">IF($C226-I$1&lt;År1,0,H225*(1-VLOOKUP($A226,[1]Hugst!$R$5:$W$9,MATCH(ROUNDUP((I$1)/10,0)*10,[1]Hugst!$R$4:$W$4,0))))</f>
        <v>0</v>
      </c>
      <c r="J226">
        <f ca="1">IF($C226-J$1&lt;År1,0,I225*(1-VLOOKUP($A226,[1]Hugst!$R$5:$W$9,MATCH(ROUNDUP((J$1)/10,0)*10,[1]Hugst!$R$4:$W$4,0))))</f>
        <v>0</v>
      </c>
      <c r="K226">
        <f ca="1">IF($C226-K$1&lt;År1,0,J225*(1-VLOOKUP($A226,[1]Hugst!$R$5:$W$9,MATCH(ROUNDUP((K$1)/10,0)*10,[1]Hugst!$R$4:$W$4,0))))</f>
        <v>0</v>
      </c>
      <c r="L226">
        <f ca="1">IF($C226-L$1&lt;År1,0,K225*(1-VLOOKUP($A226,[1]Hugst!$R$5:$W$9,MATCH(ROUNDUP((L$1)/10,0)*10,[1]Hugst!$R$4:$W$4,0))))</f>
        <v>0</v>
      </c>
      <c r="M226">
        <f ca="1">IF($C226-M$1&lt;År1,0,L225*(1-VLOOKUP($A226,[1]Hugst!$R$5:$W$9,MATCH(ROUNDUP((M$1)/10,0)*10,[1]Hugst!$R$4:$W$4,0))))</f>
        <v>0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0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>
        <f ca="1">IF($C227-G$1&lt;År1,0,F226*(1-VLOOKUP($A227,[1]Hugst!$R$5:$W$9,MATCH(ROUNDUP((G$1)/10,0)*10,[1]Hugst!$R$4:$W$4,0))))</f>
        <v>0</v>
      </c>
      <c r="H227">
        <f ca="1">IF($C227-H$1&lt;År1,0,G226*(1-VLOOKUP($A227,[1]Hugst!$R$5:$W$9,MATCH(ROUNDUP((H$1)/10,0)*10,[1]Hugst!$R$4:$W$4,0))))</f>
        <v>0</v>
      </c>
      <c r="I227">
        <f ca="1">IF($C227-I$1&lt;År1,0,H226*(1-VLOOKUP($A227,[1]Hugst!$R$5:$W$9,MATCH(ROUNDUP((I$1)/10,0)*10,[1]Hugst!$R$4:$W$4,0))))</f>
        <v>0</v>
      </c>
      <c r="J227">
        <f ca="1">IF($C227-J$1&lt;År1,0,I226*(1-VLOOKUP($A227,[1]Hugst!$R$5:$W$9,MATCH(ROUNDUP((J$1)/10,0)*10,[1]Hugst!$R$4:$W$4,0))))</f>
        <v>0</v>
      </c>
      <c r="K227">
        <f ca="1">IF($C227-K$1&lt;År1,0,J226*(1-VLOOKUP($A227,[1]Hugst!$R$5:$W$9,MATCH(ROUNDUP((K$1)/10,0)*10,[1]Hugst!$R$4:$W$4,0))))</f>
        <v>0</v>
      </c>
      <c r="L227">
        <f ca="1">IF($C227-L$1&lt;År1,0,K226*(1-VLOOKUP($A227,[1]Hugst!$R$5:$W$9,MATCH(ROUNDUP((L$1)/10,0)*10,[1]Hugst!$R$4:$W$4,0))))</f>
        <v>0</v>
      </c>
      <c r="M227">
        <f ca="1">IF($C227-M$1&lt;År1,0,L226*(1-VLOOKUP($A227,[1]Hugst!$R$5:$W$9,MATCH(ROUNDUP((M$1)/10,0)*10,[1]Hugst!$R$4:$W$4,0))))</f>
        <v>0</v>
      </c>
      <c r="N227">
        <f ca="1">IF($C227-N$1&lt;År1,0,M226*(1-VLOOKUP($A227,[1]Hugst!$R$5:$W$9,MATCH(ROUNDUP((N$1)/10,0)*10,[1]Hugst!$R$4:$W$4,0))))</f>
        <v>0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0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>
        <f ca="1">IF($C228-G$1&lt;År1,0,F227*(1-VLOOKUP($A228,[1]Hugst!$R$5:$W$9,MATCH(ROUNDUP((G$1)/10,0)*10,[1]Hugst!$R$4:$W$4,0))))</f>
        <v>0</v>
      </c>
      <c r="H228">
        <f ca="1">IF($C228-H$1&lt;År1,0,G227*(1-VLOOKUP($A228,[1]Hugst!$R$5:$W$9,MATCH(ROUNDUP((H$1)/10,0)*10,[1]Hugst!$R$4:$W$4,0))))</f>
        <v>0</v>
      </c>
      <c r="I228">
        <f ca="1">IF($C228-I$1&lt;År1,0,H227*(1-VLOOKUP($A228,[1]Hugst!$R$5:$W$9,MATCH(ROUNDUP((I$1)/10,0)*10,[1]Hugst!$R$4:$W$4,0))))</f>
        <v>0</v>
      </c>
      <c r="J228">
        <f ca="1">IF($C228-J$1&lt;År1,0,I227*(1-VLOOKUP($A228,[1]Hugst!$R$5:$W$9,MATCH(ROUNDUP((J$1)/10,0)*10,[1]Hugst!$R$4:$W$4,0))))</f>
        <v>0</v>
      </c>
      <c r="K228">
        <f ca="1">IF($C228-K$1&lt;År1,0,J227*(1-VLOOKUP($A228,[1]Hugst!$R$5:$W$9,MATCH(ROUNDUP((K$1)/10,0)*10,[1]Hugst!$R$4:$W$4,0))))</f>
        <v>0</v>
      </c>
      <c r="L228">
        <f ca="1">IF($C228-L$1&lt;År1,0,K227*(1-VLOOKUP($A228,[1]Hugst!$R$5:$W$9,MATCH(ROUNDUP((L$1)/10,0)*10,[1]Hugst!$R$4:$W$4,0))))</f>
        <v>0</v>
      </c>
      <c r="M228">
        <f ca="1">IF($C228-M$1&lt;År1,0,L227*(1-VLOOKUP($A228,[1]Hugst!$R$5:$W$9,MATCH(ROUNDUP((M$1)/10,0)*10,[1]Hugst!$R$4:$W$4,0))))</f>
        <v>0</v>
      </c>
      <c r="N228">
        <f ca="1">IF($C228-N$1&lt;År1,0,M227*(1-VLOOKUP($A228,[1]Hugst!$R$5:$W$9,MATCH(ROUNDUP((N$1)/10,0)*10,[1]Hugst!$R$4:$W$4,0))))</f>
        <v>0</v>
      </c>
      <c r="O228">
        <f ca="1">IF($C228-O$1&lt;År1,0,N227*(1-VLOOKUP($A228,[1]Hugst!$R$5:$W$9,MATCH(ROUNDUP((O$1)/10,0)*10,[1]Hugst!$R$4:$W$4,0))))</f>
        <v>0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0</v>
      </c>
      <c r="E229">
        <f t="shared" ca="1" si="5"/>
        <v>0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>
        <f ca="1">IF($C229-G$1&lt;År1,0,F228*(1-VLOOKUP($A229,[1]Hugst!$R$5:$W$9,MATCH(ROUNDUP((G$1)/10,0)*10,[1]Hugst!$R$4:$W$4,0))))</f>
        <v>0</v>
      </c>
      <c r="H229">
        <f ca="1">IF($C229-H$1&lt;År1,0,G228*(1-VLOOKUP($A229,[1]Hugst!$R$5:$W$9,MATCH(ROUNDUP((H$1)/10,0)*10,[1]Hugst!$R$4:$W$4,0))))</f>
        <v>0</v>
      </c>
      <c r="I229">
        <f ca="1">IF($C229-I$1&lt;År1,0,H228*(1-VLOOKUP($A229,[1]Hugst!$R$5:$W$9,MATCH(ROUNDUP((I$1)/10,0)*10,[1]Hugst!$R$4:$W$4,0))))</f>
        <v>0</v>
      </c>
      <c r="J229">
        <f ca="1">IF($C229-J$1&lt;År1,0,I228*(1-VLOOKUP($A229,[1]Hugst!$R$5:$W$9,MATCH(ROUNDUP((J$1)/10,0)*10,[1]Hugst!$R$4:$W$4,0))))</f>
        <v>0</v>
      </c>
      <c r="K229">
        <f ca="1">IF($C229-K$1&lt;År1,0,J228*(1-VLOOKUP($A229,[1]Hugst!$R$5:$W$9,MATCH(ROUNDUP((K$1)/10,0)*10,[1]Hugst!$R$4:$W$4,0))))</f>
        <v>0</v>
      </c>
      <c r="L229">
        <f ca="1">IF($C229-L$1&lt;År1,0,K228*(1-VLOOKUP($A229,[1]Hugst!$R$5:$W$9,MATCH(ROUNDUP((L$1)/10,0)*10,[1]Hugst!$R$4:$W$4,0))))</f>
        <v>0</v>
      </c>
      <c r="M229">
        <f ca="1">IF($C229-M$1&lt;År1,0,L228*(1-VLOOKUP($A229,[1]Hugst!$R$5:$W$9,MATCH(ROUNDUP((M$1)/10,0)*10,[1]Hugst!$R$4:$W$4,0))))</f>
        <v>0</v>
      </c>
      <c r="N229">
        <f ca="1">IF($C229-N$1&lt;År1,0,M228*(1-VLOOKUP($A229,[1]Hugst!$R$5:$W$9,MATCH(ROUNDUP((N$1)/10,0)*10,[1]Hugst!$R$4:$W$4,0))))</f>
        <v>0</v>
      </c>
      <c r="O229">
        <f ca="1">IF($C229-O$1&lt;År1,0,N228*(1-VLOOKUP($A229,[1]Hugst!$R$5:$W$9,MATCH(ROUNDUP((O$1)/10,0)*10,[1]Hugst!$R$4:$W$4,0))))</f>
        <v>0</v>
      </c>
      <c r="P229">
        <f ca="1">IF($C229-P$1&lt;År1,0,O228*(1-VLOOKUP($A229,[1]Hugst!$R$5:$W$9,MATCH(ROUNDUP((P$1)/10,0)*10,[1]Hugst!$R$4:$W$4,0))))</f>
        <v>0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0</v>
      </c>
      <c r="E230">
        <f t="shared" ca="1" si="5"/>
        <v>0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>
        <f ca="1">IF($C230-G$1&lt;År1,0,F229*(1-VLOOKUP($A230,[1]Hugst!$R$5:$W$9,MATCH(ROUNDUP((G$1)/10,0)*10,[1]Hugst!$R$4:$W$4,0))))</f>
        <v>0</v>
      </c>
      <c r="H230">
        <f ca="1">IF($C230-H$1&lt;År1,0,G229*(1-VLOOKUP($A230,[1]Hugst!$R$5:$W$9,MATCH(ROUNDUP((H$1)/10,0)*10,[1]Hugst!$R$4:$W$4,0))))</f>
        <v>0</v>
      </c>
      <c r="I230">
        <f ca="1">IF($C230-I$1&lt;År1,0,H229*(1-VLOOKUP($A230,[1]Hugst!$R$5:$W$9,MATCH(ROUNDUP((I$1)/10,0)*10,[1]Hugst!$R$4:$W$4,0))))</f>
        <v>0</v>
      </c>
      <c r="J230">
        <f ca="1">IF($C230-J$1&lt;År1,0,I229*(1-VLOOKUP($A230,[1]Hugst!$R$5:$W$9,MATCH(ROUNDUP((J$1)/10,0)*10,[1]Hugst!$R$4:$W$4,0))))</f>
        <v>0</v>
      </c>
      <c r="K230">
        <f ca="1">IF($C230-K$1&lt;År1,0,J229*(1-VLOOKUP($A230,[1]Hugst!$R$5:$W$9,MATCH(ROUNDUP((K$1)/10,0)*10,[1]Hugst!$R$4:$W$4,0))))</f>
        <v>0</v>
      </c>
      <c r="L230">
        <f ca="1">IF($C230-L$1&lt;År1,0,K229*(1-VLOOKUP($A230,[1]Hugst!$R$5:$W$9,MATCH(ROUNDUP((L$1)/10,0)*10,[1]Hugst!$R$4:$W$4,0))))</f>
        <v>0</v>
      </c>
      <c r="M230">
        <f ca="1">IF($C230-M$1&lt;År1,0,L229*(1-VLOOKUP($A230,[1]Hugst!$R$5:$W$9,MATCH(ROUNDUP((M$1)/10,0)*10,[1]Hugst!$R$4:$W$4,0))))</f>
        <v>0</v>
      </c>
      <c r="N230">
        <f ca="1">IF($C230-N$1&lt;År1,0,M229*(1-VLOOKUP($A230,[1]Hugst!$R$5:$W$9,MATCH(ROUNDUP((N$1)/10,0)*10,[1]Hugst!$R$4:$W$4,0))))</f>
        <v>0</v>
      </c>
      <c r="O230">
        <f ca="1">IF($C230-O$1&lt;År1,0,N229*(1-VLOOKUP($A230,[1]Hugst!$R$5:$W$9,MATCH(ROUNDUP((O$1)/10,0)*10,[1]Hugst!$R$4:$W$4,0))))</f>
        <v>0</v>
      </c>
      <c r="P230">
        <f ca="1">IF($C230-P$1&lt;År1,0,O229*(1-VLOOKUP($A230,[1]Hugst!$R$5:$W$9,MATCH(ROUNDUP((P$1)/10,0)*10,[1]Hugst!$R$4:$W$4,0))))</f>
        <v>0</v>
      </c>
      <c r="Q230">
        <f ca="1">IF($C230-Q$1&lt;År1,0,P229*(1-VLOOKUP($A230,[1]Hugst!$R$5:$W$9,MATCH(ROUNDUP((Q$1)/10,0)*10,[1]Hugst!$R$4:$W$4,0))))</f>
        <v>0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0</v>
      </c>
      <c r="E231">
        <f t="shared" ca="1" si="5"/>
        <v>0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>
        <f ca="1">IF($C231-G$1&lt;År1,0,F230*(1-VLOOKUP($A231,[1]Hugst!$R$5:$W$9,MATCH(ROUNDUP((G$1)/10,0)*10,[1]Hugst!$R$4:$W$4,0))))</f>
        <v>0</v>
      </c>
      <c r="H231">
        <f ca="1">IF($C231-H$1&lt;År1,0,G230*(1-VLOOKUP($A231,[1]Hugst!$R$5:$W$9,MATCH(ROUNDUP((H$1)/10,0)*10,[1]Hugst!$R$4:$W$4,0))))</f>
        <v>0</v>
      </c>
      <c r="I231">
        <f ca="1">IF($C231-I$1&lt;År1,0,H230*(1-VLOOKUP($A231,[1]Hugst!$R$5:$W$9,MATCH(ROUNDUP((I$1)/10,0)*10,[1]Hugst!$R$4:$W$4,0))))</f>
        <v>0</v>
      </c>
      <c r="J231">
        <f ca="1">IF($C231-J$1&lt;År1,0,I230*(1-VLOOKUP($A231,[1]Hugst!$R$5:$W$9,MATCH(ROUNDUP((J$1)/10,0)*10,[1]Hugst!$R$4:$W$4,0))))</f>
        <v>0</v>
      </c>
      <c r="K231">
        <f ca="1">IF($C231-K$1&lt;År1,0,J230*(1-VLOOKUP($A231,[1]Hugst!$R$5:$W$9,MATCH(ROUNDUP((K$1)/10,0)*10,[1]Hugst!$R$4:$W$4,0))))</f>
        <v>0</v>
      </c>
      <c r="L231">
        <f ca="1">IF($C231-L$1&lt;År1,0,K230*(1-VLOOKUP($A231,[1]Hugst!$R$5:$W$9,MATCH(ROUNDUP((L$1)/10,0)*10,[1]Hugst!$R$4:$W$4,0))))</f>
        <v>0</v>
      </c>
      <c r="M231">
        <f ca="1">IF($C231-M$1&lt;År1,0,L230*(1-VLOOKUP($A231,[1]Hugst!$R$5:$W$9,MATCH(ROUNDUP((M$1)/10,0)*10,[1]Hugst!$R$4:$W$4,0))))</f>
        <v>0</v>
      </c>
      <c r="N231">
        <f ca="1">IF($C231-N$1&lt;År1,0,M230*(1-VLOOKUP($A231,[1]Hugst!$R$5:$W$9,MATCH(ROUNDUP((N$1)/10,0)*10,[1]Hugst!$R$4:$W$4,0))))</f>
        <v>0</v>
      </c>
      <c r="O231">
        <f ca="1">IF($C231-O$1&lt;År1,0,N230*(1-VLOOKUP($A231,[1]Hugst!$R$5:$W$9,MATCH(ROUNDUP((O$1)/10,0)*10,[1]Hugst!$R$4:$W$4,0))))</f>
        <v>0</v>
      </c>
      <c r="P231">
        <f ca="1">IF($C231-P$1&lt;År1,0,O230*(1-VLOOKUP($A231,[1]Hugst!$R$5:$W$9,MATCH(ROUNDUP((P$1)/10,0)*10,[1]Hugst!$R$4:$W$4,0))))</f>
        <v>0</v>
      </c>
      <c r="Q231">
        <f ca="1">IF($C231-Q$1&lt;År1,0,P230*(1-VLOOKUP($A231,[1]Hugst!$R$5:$W$9,MATCH(ROUNDUP((Q$1)/10,0)*10,[1]Hugst!$R$4:$W$4,0))))</f>
        <v>0</v>
      </c>
      <c r="R231">
        <f ca="1">IF($C231-R$1&lt;År1,0,Q230*(1-VLOOKUP($A231,[1]Hugst!$R$5:$W$9,MATCH(ROUNDUP((R$1)/10,0)*10,[1]Hugst!$R$4:$W$4,0))))</f>
        <v>0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0</v>
      </c>
      <c r="E232">
        <f t="shared" ca="1" si="5"/>
        <v>0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>
        <f ca="1">IF($C232-G$1&lt;År1,0,F231*(1-VLOOKUP($A232,[1]Hugst!$R$5:$W$9,MATCH(ROUNDUP((G$1)/10,0)*10,[1]Hugst!$R$4:$W$4,0))))</f>
        <v>0</v>
      </c>
      <c r="H232">
        <f ca="1">IF($C232-H$1&lt;År1,0,G231*(1-VLOOKUP($A232,[1]Hugst!$R$5:$W$9,MATCH(ROUNDUP((H$1)/10,0)*10,[1]Hugst!$R$4:$W$4,0))))</f>
        <v>0</v>
      </c>
      <c r="I232">
        <f ca="1">IF($C232-I$1&lt;År1,0,H231*(1-VLOOKUP($A232,[1]Hugst!$R$5:$W$9,MATCH(ROUNDUP((I$1)/10,0)*10,[1]Hugst!$R$4:$W$4,0))))</f>
        <v>0</v>
      </c>
      <c r="J232">
        <f ca="1">IF($C232-J$1&lt;År1,0,I231*(1-VLOOKUP($A232,[1]Hugst!$R$5:$W$9,MATCH(ROUNDUP((J$1)/10,0)*10,[1]Hugst!$R$4:$W$4,0))))</f>
        <v>0</v>
      </c>
      <c r="K232">
        <f ca="1">IF($C232-K$1&lt;År1,0,J231*(1-VLOOKUP($A232,[1]Hugst!$R$5:$W$9,MATCH(ROUNDUP((K$1)/10,0)*10,[1]Hugst!$R$4:$W$4,0))))</f>
        <v>0</v>
      </c>
      <c r="L232">
        <f ca="1">IF($C232-L$1&lt;År1,0,K231*(1-VLOOKUP($A232,[1]Hugst!$R$5:$W$9,MATCH(ROUNDUP((L$1)/10,0)*10,[1]Hugst!$R$4:$W$4,0))))</f>
        <v>0</v>
      </c>
      <c r="M232">
        <f ca="1">IF($C232-M$1&lt;År1,0,L231*(1-VLOOKUP($A232,[1]Hugst!$R$5:$W$9,MATCH(ROUNDUP((M$1)/10,0)*10,[1]Hugst!$R$4:$W$4,0))))</f>
        <v>0</v>
      </c>
      <c r="N232">
        <f ca="1">IF($C232-N$1&lt;År1,0,M231*(1-VLOOKUP($A232,[1]Hugst!$R$5:$W$9,MATCH(ROUNDUP((N$1)/10,0)*10,[1]Hugst!$R$4:$W$4,0))))</f>
        <v>0</v>
      </c>
      <c r="O232">
        <f ca="1">IF($C232-O$1&lt;År1,0,N231*(1-VLOOKUP($A232,[1]Hugst!$R$5:$W$9,MATCH(ROUNDUP((O$1)/10,0)*10,[1]Hugst!$R$4:$W$4,0))))</f>
        <v>0</v>
      </c>
      <c r="P232">
        <f ca="1">IF($C232-P$1&lt;År1,0,O231*(1-VLOOKUP($A232,[1]Hugst!$R$5:$W$9,MATCH(ROUNDUP((P$1)/10,0)*10,[1]Hugst!$R$4:$W$4,0))))</f>
        <v>0</v>
      </c>
      <c r="Q232">
        <f ca="1">IF($C232-Q$1&lt;År1,0,P231*(1-VLOOKUP($A232,[1]Hugst!$R$5:$W$9,MATCH(ROUNDUP((Q$1)/10,0)*10,[1]Hugst!$R$4:$W$4,0))))</f>
        <v>0</v>
      </c>
      <c r="R232">
        <f ca="1">IF($C232-R$1&lt;År1,0,Q231*(1-VLOOKUP($A232,[1]Hugst!$R$5:$W$9,MATCH(ROUNDUP((R$1)/10,0)*10,[1]Hugst!$R$4:$W$4,0))))</f>
        <v>0</v>
      </c>
      <c r="S232">
        <f ca="1">IF($C232-S$1&lt;År1,0,R231*(1-VLOOKUP($A232,[1]Hugst!$R$5:$W$9,MATCH(ROUNDUP((S$1)/10,0)*10,[1]Hugst!$R$4:$W$4,0))))</f>
        <v>0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0</v>
      </c>
      <c r="E233">
        <f t="shared" ca="1" si="5"/>
        <v>0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>
        <f ca="1">IF($C233-G$1&lt;År1,0,F232*(1-VLOOKUP($A233,[1]Hugst!$R$5:$W$9,MATCH(ROUNDUP((G$1)/10,0)*10,[1]Hugst!$R$4:$W$4,0))))</f>
        <v>0</v>
      </c>
      <c r="H233">
        <f ca="1">IF($C233-H$1&lt;År1,0,G232*(1-VLOOKUP($A233,[1]Hugst!$R$5:$W$9,MATCH(ROUNDUP((H$1)/10,0)*10,[1]Hugst!$R$4:$W$4,0))))</f>
        <v>0</v>
      </c>
      <c r="I233">
        <f ca="1">IF($C233-I$1&lt;År1,0,H232*(1-VLOOKUP($A233,[1]Hugst!$R$5:$W$9,MATCH(ROUNDUP((I$1)/10,0)*10,[1]Hugst!$R$4:$W$4,0))))</f>
        <v>0</v>
      </c>
      <c r="J233">
        <f ca="1">IF($C233-J$1&lt;År1,0,I232*(1-VLOOKUP($A233,[1]Hugst!$R$5:$W$9,MATCH(ROUNDUP((J$1)/10,0)*10,[1]Hugst!$R$4:$W$4,0))))</f>
        <v>0</v>
      </c>
      <c r="K233">
        <f ca="1">IF($C233-K$1&lt;År1,0,J232*(1-VLOOKUP($A233,[1]Hugst!$R$5:$W$9,MATCH(ROUNDUP((K$1)/10,0)*10,[1]Hugst!$R$4:$W$4,0))))</f>
        <v>0</v>
      </c>
      <c r="L233">
        <f ca="1">IF($C233-L$1&lt;År1,0,K232*(1-VLOOKUP($A233,[1]Hugst!$R$5:$W$9,MATCH(ROUNDUP((L$1)/10,0)*10,[1]Hugst!$R$4:$W$4,0))))</f>
        <v>0</v>
      </c>
      <c r="M233">
        <f ca="1">IF($C233-M$1&lt;År1,0,L232*(1-VLOOKUP($A233,[1]Hugst!$R$5:$W$9,MATCH(ROUNDUP((M$1)/10,0)*10,[1]Hugst!$R$4:$W$4,0))))</f>
        <v>0</v>
      </c>
      <c r="N233">
        <f ca="1">IF($C233-N$1&lt;År1,0,M232*(1-VLOOKUP($A233,[1]Hugst!$R$5:$W$9,MATCH(ROUNDUP((N$1)/10,0)*10,[1]Hugst!$R$4:$W$4,0))))</f>
        <v>0</v>
      </c>
      <c r="O233">
        <f ca="1">IF($C233-O$1&lt;År1,0,N232*(1-VLOOKUP($A233,[1]Hugst!$R$5:$W$9,MATCH(ROUNDUP((O$1)/10,0)*10,[1]Hugst!$R$4:$W$4,0))))</f>
        <v>0</v>
      </c>
      <c r="P233">
        <f ca="1">IF($C233-P$1&lt;År1,0,O232*(1-VLOOKUP($A233,[1]Hugst!$R$5:$W$9,MATCH(ROUNDUP((P$1)/10,0)*10,[1]Hugst!$R$4:$W$4,0))))</f>
        <v>0</v>
      </c>
      <c r="Q233">
        <f ca="1">IF($C233-Q$1&lt;År1,0,P232*(1-VLOOKUP($A233,[1]Hugst!$R$5:$W$9,MATCH(ROUNDUP((Q$1)/10,0)*10,[1]Hugst!$R$4:$W$4,0))))</f>
        <v>0</v>
      </c>
      <c r="R233">
        <f ca="1">IF($C233-R$1&lt;År1,0,Q232*(1-VLOOKUP($A233,[1]Hugst!$R$5:$W$9,MATCH(ROUNDUP((R$1)/10,0)*10,[1]Hugst!$R$4:$W$4,0))))</f>
        <v>0</v>
      </c>
      <c r="S233">
        <f ca="1">IF($C233-S$1&lt;År1,0,R232*(1-VLOOKUP($A233,[1]Hugst!$R$5:$W$9,MATCH(ROUNDUP((S$1)/10,0)*10,[1]Hugst!$R$4:$W$4,0))))</f>
        <v>0</v>
      </c>
      <c r="T233">
        <f ca="1">IF($C233-T$1&lt;År1,0,S232*(1-VLOOKUP($A233,[1]Hugst!$R$5:$W$9,MATCH(ROUNDUP((T$1)/10,0)*10,[1]Hugst!$R$4:$W$4,0))))</f>
        <v>0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0</v>
      </c>
      <c r="E234">
        <f t="shared" ca="1" si="5"/>
        <v>0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>
        <f ca="1">IF($C234-G$1&lt;År1,0,F233*(1-VLOOKUP($A234,[1]Hugst!$R$5:$W$9,MATCH(ROUNDUP((G$1)/10,0)*10,[1]Hugst!$R$4:$W$4,0))))</f>
        <v>0</v>
      </c>
      <c r="H234">
        <f ca="1">IF($C234-H$1&lt;År1,0,G233*(1-VLOOKUP($A234,[1]Hugst!$R$5:$W$9,MATCH(ROUNDUP((H$1)/10,0)*10,[1]Hugst!$R$4:$W$4,0))))</f>
        <v>0</v>
      </c>
      <c r="I234">
        <f ca="1">IF($C234-I$1&lt;År1,0,H233*(1-VLOOKUP($A234,[1]Hugst!$R$5:$W$9,MATCH(ROUNDUP((I$1)/10,0)*10,[1]Hugst!$R$4:$W$4,0))))</f>
        <v>0</v>
      </c>
      <c r="J234">
        <f ca="1">IF($C234-J$1&lt;År1,0,I233*(1-VLOOKUP($A234,[1]Hugst!$R$5:$W$9,MATCH(ROUNDUP((J$1)/10,0)*10,[1]Hugst!$R$4:$W$4,0))))</f>
        <v>0</v>
      </c>
      <c r="K234">
        <f ca="1">IF($C234-K$1&lt;År1,0,J233*(1-VLOOKUP($A234,[1]Hugst!$R$5:$W$9,MATCH(ROUNDUP((K$1)/10,0)*10,[1]Hugst!$R$4:$W$4,0))))</f>
        <v>0</v>
      </c>
      <c r="L234">
        <f ca="1">IF($C234-L$1&lt;År1,0,K233*(1-VLOOKUP($A234,[1]Hugst!$R$5:$W$9,MATCH(ROUNDUP((L$1)/10,0)*10,[1]Hugst!$R$4:$W$4,0))))</f>
        <v>0</v>
      </c>
      <c r="M234">
        <f ca="1">IF($C234-M$1&lt;År1,0,L233*(1-VLOOKUP($A234,[1]Hugst!$R$5:$W$9,MATCH(ROUNDUP((M$1)/10,0)*10,[1]Hugst!$R$4:$W$4,0))))</f>
        <v>0</v>
      </c>
      <c r="N234">
        <f ca="1">IF($C234-N$1&lt;År1,0,M233*(1-VLOOKUP($A234,[1]Hugst!$R$5:$W$9,MATCH(ROUNDUP((N$1)/10,0)*10,[1]Hugst!$R$4:$W$4,0))))</f>
        <v>0</v>
      </c>
      <c r="O234">
        <f ca="1">IF($C234-O$1&lt;År1,0,N233*(1-VLOOKUP($A234,[1]Hugst!$R$5:$W$9,MATCH(ROUNDUP((O$1)/10,0)*10,[1]Hugst!$R$4:$W$4,0))))</f>
        <v>0</v>
      </c>
      <c r="P234">
        <f ca="1">IF($C234-P$1&lt;År1,0,O233*(1-VLOOKUP($A234,[1]Hugst!$R$5:$W$9,MATCH(ROUNDUP((P$1)/10,0)*10,[1]Hugst!$R$4:$W$4,0))))</f>
        <v>0</v>
      </c>
      <c r="Q234">
        <f ca="1">IF($C234-Q$1&lt;År1,0,P233*(1-VLOOKUP($A234,[1]Hugst!$R$5:$W$9,MATCH(ROUNDUP((Q$1)/10,0)*10,[1]Hugst!$R$4:$W$4,0))))</f>
        <v>0</v>
      </c>
      <c r="R234">
        <f ca="1">IF($C234-R$1&lt;År1,0,Q233*(1-VLOOKUP($A234,[1]Hugst!$R$5:$W$9,MATCH(ROUNDUP((R$1)/10,0)*10,[1]Hugst!$R$4:$W$4,0))))</f>
        <v>0</v>
      </c>
      <c r="S234">
        <f ca="1">IF($C234-S$1&lt;År1,0,R233*(1-VLOOKUP($A234,[1]Hugst!$R$5:$W$9,MATCH(ROUNDUP((S$1)/10,0)*10,[1]Hugst!$R$4:$W$4,0))))</f>
        <v>0</v>
      </c>
      <c r="T234">
        <f ca="1">IF($C234-T$1&lt;År1,0,S233*(1-VLOOKUP($A234,[1]Hugst!$R$5:$W$9,MATCH(ROUNDUP((T$1)/10,0)*10,[1]Hugst!$R$4:$W$4,0))))</f>
        <v>0</v>
      </c>
      <c r="U234">
        <f ca="1">IF($C234-U$1&lt;År1,0,T233*(1-VLOOKUP($A234,[1]Hugst!$R$5:$W$9,MATCH(ROUNDUP((U$1)/10,0)*10,[1]Hugst!$R$4:$W$4,0))))</f>
        <v>0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0</v>
      </c>
      <c r="E235">
        <f t="shared" ca="1" si="5"/>
        <v>0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>
        <f ca="1">IF($C235-G$1&lt;År1,0,F234*(1-VLOOKUP($A235,[1]Hugst!$R$5:$W$9,MATCH(ROUNDUP((G$1)/10,0)*10,[1]Hugst!$R$4:$W$4,0))))</f>
        <v>0</v>
      </c>
      <c r="H235">
        <f ca="1">IF($C235-H$1&lt;År1,0,G234*(1-VLOOKUP($A235,[1]Hugst!$R$5:$W$9,MATCH(ROUNDUP((H$1)/10,0)*10,[1]Hugst!$R$4:$W$4,0))))</f>
        <v>0</v>
      </c>
      <c r="I235">
        <f ca="1">IF($C235-I$1&lt;År1,0,H234*(1-VLOOKUP($A235,[1]Hugst!$R$5:$W$9,MATCH(ROUNDUP((I$1)/10,0)*10,[1]Hugst!$R$4:$W$4,0))))</f>
        <v>0</v>
      </c>
      <c r="J235">
        <f ca="1">IF($C235-J$1&lt;År1,0,I234*(1-VLOOKUP($A235,[1]Hugst!$R$5:$W$9,MATCH(ROUNDUP((J$1)/10,0)*10,[1]Hugst!$R$4:$W$4,0))))</f>
        <v>0</v>
      </c>
      <c r="K235">
        <f ca="1">IF($C235-K$1&lt;År1,0,J234*(1-VLOOKUP($A235,[1]Hugst!$R$5:$W$9,MATCH(ROUNDUP((K$1)/10,0)*10,[1]Hugst!$R$4:$W$4,0))))</f>
        <v>0</v>
      </c>
      <c r="L235">
        <f ca="1">IF($C235-L$1&lt;År1,0,K234*(1-VLOOKUP($A235,[1]Hugst!$R$5:$W$9,MATCH(ROUNDUP((L$1)/10,0)*10,[1]Hugst!$R$4:$W$4,0))))</f>
        <v>0</v>
      </c>
      <c r="M235">
        <f ca="1">IF($C235-M$1&lt;År1,0,L234*(1-VLOOKUP($A235,[1]Hugst!$R$5:$W$9,MATCH(ROUNDUP((M$1)/10,0)*10,[1]Hugst!$R$4:$W$4,0))))</f>
        <v>0</v>
      </c>
      <c r="N235">
        <f ca="1">IF($C235-N$1&lt;År1,0,M234*(1-VLOOKUP($A235,[1]Hugst!$R$5:$W$9,MATCH(ROUNDUP((N$1)/10,0)*10,[1]Hugst!$R$4:$W$4,0))))</f>
        <v>0</v>
      </c>
      <c r="O235">
        <f ca="1">IF($C235-O$1&lt;År1,0,N234*(1-VLOOKUP($A235,[1]Hugst!$R$5:$W$9,MATCH(ROUNDUP((O$1)/10,0)*10,[1]Hugst!$R$4:$W$4,0))))</f>
        <v>0</v>
      </c>
      <c r="P235">
        <f ca="1">IF($C235-P$1&lt;År1,0,O234*(1-VLOOKUP($A235,[1]Hugst!$R$5:$W$9,MATCH(ROUNDUP((P$1)/10,0)*10,[1]Hugst!$R$4:$W$4,0))))</f>
        <v>0</v>
      </c>
      <c r="Q235">
        <f ca="1">IF($C235-Q$1&lt;År1,0,P234*(1-VLOOKUP($A235,[1]Hugst!$R$5:$W$9,MATCH(ROUNDUP((Q$1)/10,0)*10,[1]Hugst!$R$4:$W$4,0))))</f>
        <v>0</v>
      </c>
      <c r="R235">
        <f ca="1">IF($C235-R$1&lt;År1,0,Q234*(1-VLOOKUP($A235,[1]Hugst!$R$5:$W$9,MATCH(ROUNDUP((R$1)/10,0)*10,[1]Hugst!$R$4:$W$4,0))))</f>
        <v>0</v>
      </c>
      <c r="S235">
        <f ca="1">IF($C235-S$1&lt;År1,0,R234*(1-VLOOKUP($A235,[1]Hugst!$R$5:$W$9,MATCH(ROUNDUP((S$1)/10,0)*10,[1]Hugst!$R$4:$W$4,0))))</f>
        <v>0</v>
      </c>
      <c r="T235">
        <f ca="1">IF($C235-T$1&lt;År1,0,S234*(1-VLOOKUP($A235,[1]Hugst!$R$5:$W$9,MATCH(ROUNDUP((T$1)/10,0)*10,[1]Hugst!$R$4:$W$4,0))))</f>
        <v>0</v>
      </c>
      <c r="U235">
        <f ca="1">IF($C235-U$1&lt;År1,0,T234*(1-VLOOKUP($A235,[1]Hugst!$R$5:$W$9,MATCH(ROUNDUP((U$1)/10,0)*10,[1]Hugst!$R$4:$W$4,0))))</f>
        <v>0</v>
      </c>
      <c r="V235">
        <f ca="1">IF($C235-V$1&lt;År1,0,U234*(1-VLOOKUP($A235,[1]Hugst!$R$5:$W$9,MATCH(ROUNDUP((V$1)/10,0)*10,[1]Hugst!$R$4:$W$4,0))))</f>
        <v>0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0</v>
      </c>
      <c r="E236">
        <f t="shared" ca="1" si="5"/>
        <v>0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>
        <f ca="1">IF($C236-G$1&lt;År1,0,F235*(1-VLOOKUP($A236,[1]Hugst!$R$5:$W$9,MATCH(ROUNDUP((G$1)/10,0)*10,[1]Hugst!$R$4:$W$4,0))))</f>
        <v>0</v>
      </c>
      <c r="H236">
        <f ca="1">IF($C236-H$1&lt;År1,0,G235*(1-VLOOKUP($A236,[1]Hugst!$R$5:$W$9,MATCH(ROUNDUP((H$1)/10,0)*10,[1]Hugst!$R$4:$W$4,0))))</f>
        <v>0</v>
      </c>
      <c r="I236">
        <f ca="1">IF($C236-I$1&lt;År1,0,H235*(1-VLOOKUP($A236,[1]Hugst!$R$5:$W$9,MATCH(ROUNDUP((I$1)/10,0)*10,[1]Hugst!$R$4:$W$4,0))))</f>
        <v>0</v>
      </c>
      <c r="J236">
        <f ca="1">IF($C236-J$1&lt;År1,0,I235*(1-VLOOKUP($A236,[1]Hugst!$R$5:$W$9,MATCH(ROUNDUP((J$1)/10,0)*10,[1]Hugst!$R$4:$W$4,0))))</f>
        <v>0</v>
      </c>
      <c r="K236">
        <f ca="1">IF($C236-K$1&lt;År1,0,J235*(1-VLOOKUP($A236,[1]Hugst!$R$5:$W$9,MATCH(ROUNDUP((K$1)/10,0)*10,[1]Hugst!$R$4:$W$4,0))))</f>
        <v>0</v>
      </c>
      <c r="L236">
        <f ca="1">IF($C236-L$1&lt;År1,0,K235*(1-VLOOKUP($A236,[1]Hugst!$R$5:$W$9,MATCH(ROUNDUP((L$1)/10,0)*10,[1]Hugst!$R$4:$W$4,0))))</f>
        <v>0</v>
      </c>
      <c r="M236">
        <f ca="1">IF($C236-M$1&lt;År1,0,L235*(1-VLOOKUP($A236,[1]Hugst!$R$5:$W$9,MATCH(ROUNDUP((M$1)/10,0)*10,[1]Hugst!$R$4:$W$4,0))))</f>
        <v>0</v>
      </c>
      <c r="N236">
        <f ca="1">IF($C236-N$1&lt;År1,0,M235*(1-VLOOKUP($A236,[1]Hugst!$R$5:$W$9,MATCH(ROUNDUP((N$1)/10,0)*10,[1]Hugst!$R$4:$W$4,0))))</f>
        <v>0</v>
      </c>
      <c r="O236">
        <f ca="1">IF($C236-O$1&lt;År1,0,N235*(1-VLOOKUP($A236,[1]Hugst!$R$5:$W$9,MATCH(ROUNDUP((O$1)/10,0)*10,[1]Hugst!$R$4:$W$4,0))))</f>
        <v>0</v>
      </c>
      <c r="P236">
        <f ca="1">IF($C236-P$1&lt;År1,0,O235*(1-VLOOKUP($A236,[1]Hugst!$R$5:$W$9,MATCH(ROUNDUP((P$1)/10,0)*10,[1]Hugst!$R$4:$W$4,0))))</f>
        <v>0</v>
      </c>
      <c r="Q236">
        <f ca="1">IF($C236-Q$1&lt;År1,0,P235*(1-VLOOKUP($A236,[1]Hugst!$R$5:$W$9,MATCH(ROUNDUP((Q$1)/10,0)*10,[1]Hugst!$R$4:$W$4,0))))</f>
        <v>0</v>
      </c>
      <c r="R236">
        <f ca="1">IF($C236-R$1&lt;År1,0,Q235*(1-VLOOKUP($A236,[1]Hugst!$R$5:$W$9,MATCH(ROUNDUP((R$1)/10,0)*10,[1]Hugst!$R$4:$W$4,0))))</f>
        <v>0</v>
      </c>
      <c r="S236">
        <f ca="1">IF($C236-S$1&lt;År1,0,R235*(1-VLOOKUP($A236,[1]Hugst!$R$5:$W$9,MATCH(ROUNDUP((S$1)/10,0)*10,[1]Hugst!$R$4:$W$4,0))))</f>
        <v>0</v>
      </c>
      <c r="T236">
        <f ca="1">IF($C236-T$1&lt;År1,0,S235*(1-VLOOKUP($A236,[1]Hugst!$R$5:$W$9,MATCH(ROUNDUP((T$1)/10,0)*10,[1]Hugst!$R$4:$W$4,0))))</f>
        <v>0</v>
      </c>
      <c r="U236">
        <f ca="1">IF($C236-U$1&lt;År1,0,T235*(1-VLOOKUP($A236,[1]Hugst!$R$5:$W$9,MATCH(ROUNDUP((U$1)/10,0)*10,[1]Hugst!$R$4:$W$4,0))))</f>
        <v>0</v>
      </c>
      <c r="V236">
        <f ca="1">IF($C236-V$1&lt;År1,0,U235*(1-VLOOKUP($A236,[1]Hugst!$R$5:$W$9,MATCH(ROUNDUP((V$1)/10,0)*10,[1]Hugst!$R$4:$W$4,0))))</f>
        <v>0</v>
      </c>
      <c r="W236">
        <f ca="1">IF($C236-W$1&lt;År1,0,V235*(1-VLOOKUP($A236,[1]Hugst!$R$5:$W$9,MATCH(ROUNDUP((W$1)/10,0)*10,[1]Hugst!$R$4:$W$4,0))))</f>
        <v>0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0</v>
      </c>
      <c r="E237">
        <f t="shared" ca="1" si="5"/>
        <v>0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>
        <f ca="1">IF($C237-G$1&lt;År1,0,F236*(1-VLOOKUP($A237,[1]Hugst!$R$5:$W$9,MATCH(ROUNDUP((G$1)/10,0)*10,[1]Hugst!$R$4:$W$4,0))))</f>
        <v>0</v>
      </c>
      <c r="H237">
        <f ca="1">IF($C237-H$1&lt;År1,0,G236*(1-VLOOKUP($A237,[1]Hugst!$R$5:$W$9,MATCH(ROUNDUP((H$1)/10,0)*10,[1]Hugst!$R$4:$W$4,0))))</f>
        <v>0</v>
      </c>
      <c r="I237">
        <f ca="1">IF($C237-I$1&lt;År1,0,H236*(1-VLOOKUP($A237,[1]Hugst!$R$5:$W$9,MATCH(ROUNDUP((I$1)/10,0)*10,[1]Hugst!$R$4:$W$4,0))))</f>
        <v>0</v>
      </c>
      <c r="J237">
        <f ca="1">IF($C237-J$1&lt;År1,0,I236*(1-VLOOKUP($A237,[1]Hugst!$R$5:$W$9,MATCH(ROUNDUP((J$1)/10,0)*10,[1]Hugst!$R$4:$W$4,0))))</f>
        <v>0</v>
      </c>
      <c r="K237">
        <f ca="1">IF($C237-K$1&lt;År1,0,J236*(1-VLOOKUP($A237,[1]Hugst!$R$5:$W$9,MATCH(ROUNDUP((K$1)/10,0)*10,[1]Hugst!$R$4:$W$4,0))))</f>
        <v>0</v>
      </c>
      <c r="L237">
        <f ca="1">IF($C237-L$1&lt;År1,0,K236*(1-VLOOKUP($A237,[1]Hugst!$R$5:$W$9,MATCH(ROUNDUP((L$1)/10,0)*10,[1]Hugst!$R$4:$W$4,0))))</f>
        <v>0</v>
      </c>
      <c r="M237">
        <f ca="1">IF($C237-M$1&lt;År1,0,L236*(1-VLOOKUP($A237,[1]Hugst!$R$5:$W$9,MATCH(ROUNDUP((M$1)/10,0)*10,[1]Hugst!$R$4:$W$4,0))))</f>
        <v>0</v>
      </c>
      <c r="N237">
        <f ca="1">IF($C237-N$1&lt;År1,0,M236*(1-VLOOKUP($A237,[1]Hugst!$R$5:$W$9,MATCH(ROUNDUP((N$1)/10,0)*10,[1]Hugst!$R$4:$W$4,0))))</f>
        <v>0</v>
      </c>
      <c r="O237">
        <f ca="1">IF($C237-O$1&lt;År1,0,N236*(1-VLOOKUP($A237,[1]Hugst!$R$5:$W$9,MATCH(ROUNDUP((O$1)/10,0)*10,[1]Hugst!$R$4:$W$4,0))))</f>
        <v>0</v>
      </c>
      <c r="P237">
        <f ca="1">IF($C237-P$1&lt;År1,0,O236*(1-VLOOKUP($A237,[1]Hugst!$R$5:$W$9,MATCH(ROUNDUP((P$1)/10,0)*10,[1]Hugst!$R$4:$W$4,0))))</f>
        <v>0</v>
      </c>
      <c r="Q237">
        <f ca="1">IF($C237-Q$1&lt;År1,0,P236*(1-VLOOKUP($A237,[1]Hugst!$R$5:$W$9,MATCH(ROUNDUP((Q$1)/10,0)*10,[1]Hugst!$R$4:$W$4,0))))</f>
        <v>0</v>
      </c>
      <c r="R237">
        <f ca="1">IF($C237-R$1&lt;År1,0,Q236*(1-VLOOKUP($A237,[1]Hugst!$R$5:$W$9,MATCH(ROUNDUP((R$1)/10,0)*10,[1]Hugst!$R$4:$W$4,0))))</f>
        <v>0</v>
      </c>
      <c r="S237">
        <f ca="1">IF($C237-S$1&lt;År1,0,R236*(1-VLOOKUP($A237,[1]Hugst!$R$5:$W$9,MATCH(ROUNDUP((S$1)/10,0)*10,[1]Hugst!$R$4:$W$4,0))))</f>
        <v>0</v>
      </c>
      <c r="T237">
        <f ca="1">IF($C237-T$1&lt;År1,0,S236*(1-VLOOKUP($A237,[1]Hugst!$R$5:$W$9,MATCH(ROUNDUP((T$1)/10,0)*10,[1]Hugst!$R$4:$W$4,0))))</f>
        <v>0</v>
      </c>
      <c r="U237">
        <f ca="1">IF($C237-U$1&lt;År1,0,T236*(1-VLOOKUP($A237,[1]Hugst!$R$5:$W$9,MATCH(ROUNDUP((U$1)/10,0)*10,[1]Hugst!$R$4:$W$4,0))))</f>
        <v>0</v>
      </c>
      <c r="V237">
        <f ca="1">IF($C237-V$1&lt;År1,0,U236*(1-VLOOKUP($A237,[1]Hugst!$R$5:$W$9,MATCH(ROUNDUP((V$1)/10,0)*10,[1]Hugst!$R$4:$W$4,0))))</f>
        <v>0</v>
      </c>
      <c r="W237">
        <f ca="1">IF($C237-W$1&lt;År1,0,V236*(1-VLOOKUP($A237,[1]Hugst!$R$5:$W$9,MATCH(ROUNDUP((W$1)/10,0)*10,[1]Hugst!$R$4:$W$4,0))))</f>
        <v>0</v>
      </c>
      <c r="X237">
        <f ca="1">IF($C237-X$1&lt;År1,0,W236*(1-VLOOKUP($A237,[1]Hugst!$R$5:$W$9,MATCH(ROUNDUP((X$1)/10,0)*10,[1]Hugst!$R$4:$W$4,0))))</f>
        <v>0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0</v>
      </c>
      <c r="E238">
        <f t="shared" ca="1" si="5"/>
        <v>0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>
        <f ca="1">IF($C238-G$1&lt;År1,0,F237*(1-VLOOKUP($A238,[1]Hugst!$R$5:$W$9,MATCH(ROUNDUP((G$1)/10,0)*10,[1]Hugst!$R$4:$W$4,0))))</f>
        <v>0</v>
      </c>
      <c r="H238">
        <f ca="1">IF($C238-H$1&lt;År1,0,G237*(1-VLOOKUP($A238,[1]Hugst!$R$5:$W$9,MATCH(ROUNDUP((H$1)/10,0)*10,[1]Hugst!$R$4:$W$4,0))))</f>
        <v>0</v>
      </c>
      <c r="I238">
        <f ca="1">IF($C238-I$1&lt;År1,0,H237*(1-VLOOKUP($A238,[1]Hugst!$R$5:$W$9,MATCH(ROUNDUP((I$1)/10,0)*10,[1]Hugst!$R$4:$W$4,0))))</f>
        <v>0</v>
      </c>
      <c r="J238">
        <f ca="1">IF($C238-J$1&lt;År1,0,I237*(1-VLOOKUP($A238,[1]Hugst!$R$5:$W$9,MATCH(ROUNDUP((J$1)/10,0)*10,[1]Hugst!$R$4:$W$4,0))))</f>
        <v>0</v>
      </c>
      <c r="K238">
        <f ca="1">IF($C238-K$1&lt;År1,0,J237*(1-VLOOKUP($A238,[1]Hugst!$R$5:$W$9,MATCH(ROUNDUP((K$1)/10,0)*10,[1]Hugst!$R$4:$W$4,0))))</f>
        <v>0</v>
      </c>
      <c r="L238">
        <f ca="1">IF($C238-L$1&lt;År1,0,K237*(1-VLOOKUP($A238,[1]Hugst!$R$5:$W$9,MATCH(ROUNDUP((L$1)/10,0)*10,[1]Hugst!$R$4:$W$4,0))))</f>
        <v>0</v>
      </c>
      <c r="M238">
        <f ca="1">IF($C238-M$1&lt;År1,0,L237*(1-VLOOKUP($A238,[1]Hugst!$R$5:$W$9,MATCH(ROUNDUP((M$1)/10,0)*10,[1]Hugst!$R$4:$W$4,0))))</f>
        <v>0</v>
      </c>
      <c r="N238">
        <f ca="1">IF($C238-N$1&lt;År1,0,M237*(1-VLOOKUP($A238,[1]Hugst!$R$5:$W$9,MATCH(ROUNDUP((N$1)/10,0)*10,[1]Hugst!$R$4:$W$4,0))))</f>
        <v>0</v>
      </c>
      <c r="O238">
        <f ca="1">IF($C238-O$1&lt;År1,0,N237*(1-VLOOKUP($A238,[1]Hugst!$R$5:$W$9,MATCH(ROUNDUP((O$1)/10,0)*10,[1]Hugst!$R$4:$W$4,0))))</f>
        <v>0</v>
      </c>
      <c r="P238">
        <f ca="1">IF($C238-P$1&lt;År1,0,O237*(1-VLOOKUP($A238,[1]Hugst!$R$5:$W$9,MATCH(ROUNDUP((P$1)/10,0)*10,[1]Hugst!$R$4:$W$4,0))))</f>
        <v>0</v>
      </c>
      <c r="Q238">
        <f ca="1">IF($C238-Q$1&lt;År1,0,P237*(1-VLOOKUP($A238,[1]Hugst!$R$5:$W$9,MATCH(ROUNDUP((Q$1)/10,0)*10,[1]Hugst!$R$4:$W$4,0))))</f>
        <v>0</v>
      </c>
      <c r="R238">
        <f ca="1">IF($C238-R$1&lt;År1,0,Q237*(1-VLOOKUP($A238,[1]Hugst!$R$5:$W$9,MATCH(ROUNDUP((R$1)/10,0)*10,[1]Hugst!$R$4:$W$4,0))))</f>
        <v>0</v>
      </c>
      <c r="S238">
        <f ca="1">IF($C238-S$1&lt;År1,0,R237*(1-VLOOKUP($A238,[1]Hugst!$R$5:$W$9,MATCH(ROUNDUP((S$1)/10,0)*10,[1]Hugst!$R$4:$W$4,0))))</f>
        <v>0</v>
      </c>
      <c r="T238">
        <f ca="1">IF($C238-T$1&lt;År1,0,S237*(1-VLOOKUP($A238,[1]Hugst!$R$5:$W$9,MATCH(ROUNDUP((T$1)/10,0)*10,[1]Hugst!$R$4:$W$4,0))))</f>
        <v>0</v>
      </c>
      <c r="U238">
        <f ca="1">IF($C238-U$1&lt;År1,0,T237*(1-VLOOKUP($A238,[1]Hugst!$R$5:$W$9,MATCH(ROUNDUP((U$1)/10,0)*10,[1]Hugst!$R$4:$W$4,0))))</f>
        <v>0</v>
      </c>
      <c r="V238">
        <f ca="1">IF($C238-V$1&lt;År1,0,U237*(1-VLOOKUP($A238,[1]Hugst!$R$5:$W$9,MATCH(ROUNDUP((V$1)/10,0)*10,[1]Hugst!$R$4:$W$4,0))))</f>
        <v>0</v>
      </c>
      <c r="W238">
        <f ca="1">IF($C238-W$1&lt;År1,0,V237*(1-VLOOKUP($A238,[1]Hugst!$R$5:$W$9,MATCH(ROUNDUP((W$1)/10,0)*10,[1]Hugst!$R$4:$W$4,0))))</f>
        <v>0</v>
      </c>
      <c r="X238">
        <f ca="1">IF($C238-X$1&lt;År1,0,W237*(1-VLOOKUP($A238,[1]Hugst!$R$5:$W$9,MATCH(ROUNDUP((X$1)/10,0)*10,[1]Hugst!$R$4:$W$4,0))))</f>
        <v>0</v>
      </c>
      <c r="Y238">
        <f ca="1">IF($C238-Y$1&lt;År1,0,X237*(1-VLOOKUP($A238,[1]Hugst!$R$5:$W$9,MATCH(ROUNDUP((Y$1)/10,0)*10,[1]Hugst!$R$4:$W$4,0))))</f>
        <v>0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0</v>
      </c>
      <c r="E239">
        <f t="shared" ca="1" si="5"/>
        <v>0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>
        <f ca="1">IF($C239-G$1&lt;År1,0,F238*(1-VLOOKUP($A239,[1]Hugst!$R$5:$W$9,MATCH(ROUNDUP((G$1)/10,0)*10,[1]Hugst!$R$4:$W$4,0))))</f>
        <v>0</v>
      </c>
      <c r="H239">
        <f ca="1">IF($C239-H$1&lt;År1,0,G238*(1-VLOOKUP($A239,[1]Hugst!$R$5:$W$9,MATCH(ROUNDUP((H$1)/10,0)*10,[1]Hugst!$R$4:$W$4,0))))</f>
        <v>0</v>
      </c>
      <c r="I239">
        <f ca="1">IF($C239-I$1&lt;År1,0,H238*(1-VLOOKUP($A239,[1]Hugst!$R$5:$W$9,MATCH(ROUNDUP((I$1)/10,0)*10,[1]Hugst!$R$4:$W$4,0))))</f>
        <v>0</v>
      </c>
      <c r="J239">
        <f ca="1">IF($C239-J$1&lt;År1,0,I238*(1-VLOOKUP($A239,[1]Hugst!$R$5:$W$9,MATCH(ROUNDUP((J$1)/10,0)*10,[1]Hugst!$R$4:$W$4,0))))</f>
        <v>0</v>
      </c>
      <c r="K239">
        <f ca="1">IF($C239-K$1&lt;År1,0,J238*(1-VLOOKUP($A239,[1]Hugst!$R$5:$W$9,MATCH(ROUNDUP((K$1)/10,0)*10,[1]Hugst!$R$4:$W$4,0))))</f>
        <v>0</v>
      </c>
      <c r="L239">
        <f ca="1">IF($C239-L$1&lt;År1,0,K238*(1-VLOOKUP($A239,[1]Hugst!$R$5:$W$9,MATCH(ROUNDUP((L$1)/10,0)*10,[1]Hugst!$R$4:$W$4,0))))</f>
        <v>0</v>
      </c>
      <c r="M239">
        <f ca="1">IF($C239-M$1&lt;År1,0,L238*(1-VLOOKUP($A239,[1]Hugst!$R$5:$W$9,MATCH(ROUNDUP((M$1)/10,0)*10,[1]Hugst!$R$4:$W$4,0))))</f>
        <v>0</v>
      </c>
      <c r="N239">
        <f ca="1">IF($C239-N$1&lt;År1,0,M238*(1-VLOOKUP($A239,[1]Hugst!$R$5:$W$9,MATCH(ROUNDUP((N$1)/10,0)*10,[1]Hugst!$R$4:$W$4,0))))</f>
        <v>0</v>
      </c>
      <c r="O239">
        <f ca="1">IF($C239-O$1&lt;År1,0,N238*(1-VLOOKUP($A239,[1]Hugst!$R$5:$W$9,MATCH(ROUNDUP((O$1)/10,0)*10,[1]Hugst!$R$4:$W$4,0))))</f>
        <v>0</v>
      </c>
      <c r="P239">
        <f ca="1">IF($C239-P$1&lt;År1,0,O238*(1-VLOOKUP($A239,[1]Hugst!$R$5:$W$9,MATCH(ROUNDUP((P$1)/10,0)*10,[1]Hugst!$R$4:$W$4,0))))</f>
        <v>0</v>
      </c>
      <c r="Q239">
        <f ca="1">IF($C239-Q$1&lt;År1,0,P238*(1-VLOOKUP($A239,[1]Hugst!$R$5:$W$9,MATCH(ROUNDUP((Q$1)/10,0)*10,[1]Hugst!$R$4:$W$4,0))))</f>
        <v>0</v>
      </c>
      <c r="R239">
        <f ca="1">IF($C239-R$1&lt;År1,0,Q238*(1-VLOOKUP($A239,[1]Hugst!$R$5:$W$9,MATCH(ROUNDUP((R$1)/10,0)*10,[1]Hugst!$R$4:$W$4,0))))</f>
        <v>0</v>
      </c>
      <c r="S239">
        <f ca="1">IF($C239-S$1&lt;År1,0,R238*(1-VLOOKUP($A239,[1]Hugst!$R$5:$W$9,MATCH(ROUNDUP((S$1)/10,0)*10,[1]Hugst!$R$4:$W$4,0))))</f>
        <v>0</v>
      </c>
      <c r="T239">
        <f ca="1">IF($C239-T$1&lt;År1,0,S238*(1-VLOOKUP($A239,[1]Hugst!$R$5:$W$9,MATCH(ROUNDUP((T$1)/10,0)*10,[1]Hugst!$R$4:$W$4,0))))</f>
        <v>0</v>
      </c>
      <c r="U239">
        <f ca="1">IF($C239-U$1&lt;År1,0,T238*(1-VLOOKUP($A239,[1]Hugst!$R$5:$W$9,MATCH(ROUNDUP((U$1)/10,0)*10,[1]Hugst!$R$4:$W$4,0))))</f>
        <v>0</v>
      </c>
      <c r="V239">
        <f ca="1">IF($C239-V$1&lt;År1,0,U238*(1-VLOOKUP($A239,[1]Hugst!$R$5:$W$9,MATCH(ROUNDUP((V$1)/10,0)*10,[1]Hugst!$R$4:$W$4,0))))</f>
        <v>0</v>
      </c>
      <c r="W239">
        <f ca="1">IF($C239-W$1&lt;År1,0,V238*(1-VLOOKUP($A239,[1]Hugst!$R$5:$W$9,MATCH(ROUNDUP((W$1)/10,0)*10,[1]Hugst!$R$4:$W$4,0))))</f>
        <v>0</v>
      </c>
      <c r="X239">
        <f ca="1">IF($C239-X$1&lt;År1,0,W238*(1-VLOOKUP($A239,[1]Hugst!$R$5:$W$9,MATCH(ROUNDUP((X$1)/10,0)*10,[1]Hugst!$R$4:$W$4,0))))</f>
        <v>0</v>
      </c>
      <c r="Y239">
        <f ca="1">IF($C239-Y$1&lt;År1,0,X238*(1-VLOOKUP($A239,[1]Hugst!$R$5:$W$9,MATCH(ROUNDUP((Y$1)/10,0)*10,[1]Hugst!$R$4:$W$4,0))))</f>
        <v>0</v>
      </c>
      <c r="Z239">
        <f ca="1">IF($C239-Z$1&lt;År1,0,Y238*(1-VLOOKUP($A239,[1]Hugst!$R$5:$W$9,MATCH(ROUNDUP((Z$1)/10,0)*10,[1]Hugst!$R$4:$W$4,0))))</f>
        <v>0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0</v>
      </c>
      <c r="E240">
        <f t="shared" ca="1" si="5"/>
        <v>0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>
        <f ca="1">IF($C240-G$1&lt;År1,0,F239*(1-VLOOKUP($A240,[1]Hugst!$R$5:$W$9,MATCH(ROUNDUP((G$1)/10,0)*10,[1]Hugst!$R$4:$W$4,0))))</f>
        <v>0</v>
      </c>
      <c r="H240">
        <f ca="1">IF($C240-H$1&lt;År1,0,G239*(1-VLOOKUP($A240,[1]Hugst!$R$5:$W$9,MATCH(ROUNDUP((H$1)/10,0)*10,[1]Hugst!$R$4:$W$4,0))))</f>
        <v>0</v>
      </c>
      <c r="I240">
        <f ca="1">IF($C240-I$1&lt;År1,0,H239*(1-VLOOKUP($A240,[1]Hugst!$R$5:$W$9,MATCH(ROUNDUP((I$1)/10,0)*10,[1]Hugst!$R$4:$W$4,0))))</f>
        <v>0</v>
      </c>
      <c r="J240">
        <f ca="1">IF($C240-J$1&lt;År1,0,I239*(1-VLOOKUP($A240,[1]Hugst!$R$5:$W$9,MATCH(ROUNDUP((J$1)/10,0)*10,[1]Hugst!$R$4:$W$4,0))))</f>
        <v>0</v>
      </c>
      <c r="K240">
        <f ca="1">IF($C240-K$1&lt;År1,0,J239*(1-VLOOKUP($A240,[1]Hugst!$R$5:$W$9,MATCH(ROUNDUP((K$1)/10,0)*10,[1]Hugst!$R$4:$W$4,0))))</f>
        <v>0</v>
      </c>
      <c r="L240">
        <f ca="1">IF($C240-L$1&lt;År1,0,K239*(1-VLOOKUP($A240,[1]Hugst!$R$5:$W$9,MATCH(ROUNDUP((L$1)/10,0)*10,[1]Hugst!$R$4:$W$4,0))))</f>
        <v>0</v>
      </c>
      <c r="M240">
        <f ca="1">IF($C240-M$1&lt;År1,0,L239*(1-VLOOKUP($A240,[1]Hugst!$R$5:$W$9,MATCH(ROUNDUP((M$1)/10,0)*10,[1]Hugst!$R$4:$W$4,0))))</f>
        <v>0</v>
      </c>
      <c r="N240">
        <f ca="1">IF($C240-N$1&lt;År1,0,M239*(1-VLOOKUP($A240,[1]Hugst!$R$5:$W$9,MATCH(ROUNDUP((N$1)/10,0)*10,[1]Hugst!$R$4:$W$4,0))))</f>
        <v>0</v>
      </c>
      <c r="O240">
        <f ca="1">IF($C240-O$1&lt;År1,0,N239*(1-VLOOKUP($A240,[1]Hugst!$R$5:$W$9,MATCH(ROUNDUP((O$1)/10,0)*10,[1]Hugst!$R$4:$W$4,0))))</f>
        <v>0</v>
      </c>
      <c r="P240">
        <f ca="1">IF($C240-P$1&lt;År1,0,O239*(1-VLOOKUP($A240,[1]Hugst!$R$5:$W$9,MATCH(ROUNDUP((P$1)/10,0)*10,[1]Hugst!$R$4:$W$4,0))))</f>
        <v>0</v>
      </c>
      <c r="Q240">
        <f ca="1">IF($C240-Q$1&lt;År1,0,P239*(1-VLOOKUP($A240,[1]Hugst!$R$5:$W$9,MATCH(ROUNDUP((Q$1)/10,0)*10,[1]Hugst!$R$4:$W$4,0))))</f>
        <v>0</v>
      </c>
      <c r="R240">
        <f ca="1">IF($C240-R$1&lt;År1,0,Q239*(1-VLOOKUP($A240,[1]Hugst!$R$5:$W$9,MATCH(ROUNDUP((R$1)/10,0)*10,[1]Hugst!$R$4:$W$4,0))))</f>
        <v>0</v>
      </c>
      <c r="S240">
        <f ca="1">IF($C240-S$1&lt;År1,0,R239*(1-VLOOKUP($A240,[1]Hugst!$R$5:$W$9,MATCH(ROUNDUP((S$1)/10,0)*10,[1]Hugst!$R$4:$W$4,0))))</f>
        <v>0</v>
      </c>
      <c r="T240">
        <f ca="1">IF($C240-T$1&lt;År1,0,S239*(1-VLOOKUP($A240,[1]Hugst!$R$5:$W$9,MATCH(ROUNDUP((T$1)/10,0)*10,[1]Hugst!$R$4:$W$4,0))))</f>
        <v>0</v>
      </c>
      <c r="U240">
        <f ca="1">IF($C240-U$1&lt;År1,0,T239*(1-VLOOKUP($A240,[1]Hugst!$R$5:$W$9,MATCH(ROUNDUP((U$1)/10,0)*10,[1]Hugst!$R$4:$W$4,0))))</f>
        <v>0</v>
      </c>
      <c r="V240">
        <f ca="1">IF($C240-V$1&lt;År1,0,U239*(1-VLOOKUP($A240,[1]Hugst!$R$5:$W$9,MATCH(ROUNDUP((V$1)/10,0)*10,[1]Hugst!$R$4:$W$4,0))))</f>
        <v>0</v>
      </c>
      <c r="W240">
        <f ca="1">IF($C240-W$1&lt;År1,0,V239*(1-VLOOKUP($A240,[1]Hugst!$R$5:$W$9,MATCH(ROUNDUP((W$1)/10,0)*10,[1]Hugst!$R$4:$W$4,0))))</f>
        <v>0</v>
      </c>
      <c r="X240">
        <f ca="1">IF($C240-X$1&lt;År1,0,W239*(1-VLOOKUP($A240,[1]Hugst!$R$5:$W$9,MATCH(ROUNDUP((X$1)/10,0)*10,[1]Hugst!$R$4:$W$4,0))))</f>
        <v>0</v>
      </c>
      <c r="Y240">
        <f ca="1">IF($C240-Y$1&lt;År1,0,X239*(1-VLOOKUP($A240,[1]Hugst!$R$5:$W$9,MATCH(ROUNDUP((Y$1)/10,0)*10,[1]Hugst!$R$4:$W$4,0))))</f>
        <v>0</v>
      </c>
      <c r="Z240">
        <f ca="1">IF($C240-Z$1&lt;År1,0,Y239*(1-VLOOKUP($A240,[1]Hugst!$R$5:$W$9,MATCH(ROUNDUP((Z$1)/10,0)*10,[1]Hugst!$R$4:$W$4,0))))</f>
        <v>0</v>
      </c>
      <c r="AA240">
        <f ca="1">IF($C240-AA$1&lt;År1,0,Z239*(1-VLOOKUP($A240,[1]Hugst!$R$5:$W$9,MATCH(ROUNDUP((AA$1)/10,0)*10,[1]Hugst!$R$4:$W$4,0))))</f>
        <v>0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0</v>
      </c>
      <c r="E241">
        <f t="shared" ca="1" si="5"/>
        <v>0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>
        <f ca="1">IF($C241-G$1&lt;År1,0,F240*(1-VLOOKUP($A241,[1]Hugst!$R$5:$W$9,MATCH(ROUNDUP((G$1)/10,0)*10,[1]Hugst!$R$4:$W$4,0))))</f>
        <v>0</v>
      </c>
      <c r="H241">
        <f ca="1">IF($C241-H$1&lt;År1,0,G240*(1-VLOOKUP($A241,[1]Hugst!$R$5:$W$9,MATCH(ROUNDUP((H$1)/10,0)*10,[1]Hugst!$R$4:$W$4,0))))</f>
        <v>0</v>
      </c>
      <c r="I241">
        <f ca="1">IF($C241-I$1&lt;År1,0,H240*(1-VLOOKUP($A241,[1]Hugst!$R$5:$W$9,MATCH(ROUNDUP((I$1)/10,0)*10,[1]Hugst!$R$4:$W$4,0))))</f>
        <v>0</v>
      </c>
      <c r="J241">
        <f ca="1">IF($C241-J$1&lt;År1,0,I240*(1-VLOOKUP($A241,[1]Hugst!$R$5:$W$9,MATCH(ROUNDUP((J$1)/10,0)*10,[1]Hugst!$R$4:$W$4,0))))</f>
        <v>0</v>
      </c>
      <c r="K241">
        <f ca="1">IF($C241-K$1&lt;År1,0,J240*(1-VLOOKUP($A241,[1]Hugst!$R$5:$W$9,MATCH(ROUNDUP((K$1)/10,0)*10,[1]Hugst!$R$4:$W$4,0))))</f>
        <v>0</v>
      </c>
      <c r="L241">
        <f ca="1">IF($C241-L$1&lt;År1,0,K240*(1-VLOOKUP($A241,[1]Hugst!$R$5:$W$9,MATCH(ROUNDUP((L$1)/10,0)*10,[1]Hugst!$R$4:$W$4,0))))</f>
        <v>0</v>
      </c>
      <c r="M241">
        <f ca="1">IF($C241-M$1&lt;År1,0,L240*(1-VLOOKUP($A241,[1]Hugst!$R$5:$W$9,MATCH(ROUNDUP((M$1)/10,0)*10,[1]Hugst!$R$4:$W$4,0))))</f>
        <v>0</v>
      </c>
      <c r="N241">
        <f ca="1">IF($C241-N$1&lt;År1,0,M240*(1-VLOOKUP($A241,[1]Hugst!$R$5:$W$9,MATCH(ROUNDUP((N$1)/10,0)*10,[1]Hugst!$R$4:$W$4,0))))</f>
        <v>0</v>
      </c>
      <c r="O241">
        <f ca="1">IF($C241-O$1&lt;År1,0,N240*(1-VLOOKUP($A241,[1]Hugst!$R$5:$W$9,MATCH(ROUNDUP((O$1)/10,0)*10,[1]Hugst!$R$4:$W$4,0))))</f>
        <v>0</v>
      </c>
      <c r="P241">
        <f ca="1">IF($C241-P$1&lt;År1,0,O240*(1-VLOOKUP($A241,[1]Hugst!$R$5:$W$9,MATCH(ROUNDUP((P$1)/10,0)*10,[1]Hugst!$R$4:$W$4,0))))</f>
        <v>0</v>
      </c>
      <c r="Q241">
        <f ca="1">IF($C241-Q$1&lt;År1,0,P240*(1-VLOOKUP($A241,[1]Hugst!$R$5:$W$9,MATCH(ROUNDUP((Q$1)/10,0)*10,[1]Hugst!$R$4:$W$4,0))))</f>
        <v>0</v>
      </c>
      <c r="R241">
        <f ca="1">IF($C241-R$1&lt;År1,0,Q240*(1-VLOOKUP($A241,[1]Hugst!$R$5:$W$9,MATCH(ROUNDUP((R$1)/10,0)*10,[1]Hugst!$R$4:$W$4,0))))</f>
        <v>0</v>
      </c>
      <c r="S241">
        <f ca="1">IF($C241-S$1&lt;År1,0,R240*(1-VLOOKUP($A241,[1]Hugst!$R$5:$W$9,MATCH(ROUNDUP((S$1)/10,0)*10,[1]Hugst!$R$4:$W$4,0))))</f>
        <v>0</v>
      </c>
      <c r="T241">
        <f ca="1">IF($C241-T$1&lt;År1,0,S240*(1-VLOOKUP($A241,[1]Hugst!$R$5:$W$9,MATCH(ROUNDUP((T$1)/10,0)*10,[1]Hugst!$R$4:$W$4,0))))</f>
        <v>0</v>
      </c>
      <c r="U241">
        <f ca="1">IF($C241-U$1&lt;År1,0,T240*(1-VLOOKUP($A241,[1]Hugst!$R$5:$W$9,MATCH(ROUNDUP((U$1)/10,0)*10,[1]Hugst!$R$4:$W$4,0))))</f>
        <v>0</v>
      </c>
      <c r="V241">
        <f ca="1">IF($C241-V$1&lt;År1,0,U240*(1-VLOOKUP($A241,[1]Hugst!$R$5:$W$9,MATCH(ROUNDUP((V$1)/10,0)*10,[1]Hugst!$R$4:$W$4,0))))</f>
        <v>0</v>
      </c>
      <c r="W241">
        <f ca="1">IF($C241-W$1&lt;År1,0,V240*(1-VLOOKUP($A241,[1]Hugst!$R$5:$W$9,MATCH(ROUNDUP((W$1)/10,0)*10,[1]Hugst!$R$4:$W$4,0))))</f>
        <v>0</v>
      </c>
      <c r="X241">
        <f ca="1">IF($C241-X$1&lt;År1,0,W240*(1-VLOOKUP($A241,[1]Hugst!$R$5:$W$9,MATCH(ROUNDUP((X$1)/10,0)*10,[1]Hugst!$R$4:$W$4,0))))</f>
        <v>0</v>
      </c>
      <c r="Y241">
        <f ca="1">IF($C241-Y$1&lt;År1,0,X240*(1-VLOOKUP($A241,[1]Hugst!$R$5:$W$9,MATCH(ROUNDUP((Y$1)/10,0)*10,[1]Hugst!$R$4:$W$4,0))))</f>
        <v>0</v>
      </c>
      <c r="Z241">
        <f ca="1">IF($C241-Z$1&lt;År1,0,Y240*(1-VLOOKUP($A241,[1]Hugst!$R$5:$W$9,MATCH(ROUNDUP((Z$1)/10,0)*10,[1]Hugst!$R$4:$W$4,0))))</f>
        <v>0</v>
      </c>
      <c r="AA241">
        <f ca="1">IF($C241-AA$1&lt;År1,0,Z240*(1-VLOOKUP($A241,[1]Hugst!$R$5:$W$9,MATCH(ROUNDUP((AA$1)/10,0)*10,[1]Hugst!$R$4:$W$4,0))))</f>
        <v>0</v>
      </c>
      <c r="AB241">
        <f ca="1">IF($C241-AB$1&lt;År1,0,AA240*(1-VLOOKUP($A241,[1]Hugst!$R$5:$W$9,MATCH(ROUNDUP((AB$1)/10,0)*10,[1]Hugst!$R$4:$W$4,0))))</f>
        <v>0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0</v>
      </c>
      <c r="E242">
        <f t="shared" ca="1" si="5"/>
        <v>0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>
        <f ca="1">IF($C242-G$1&lt;År1,0,F241*(1-VLOOKUP($A242,[1]Hugst!$R$5:$W$9,MATCH(ROUNDUP((G$1)/10,0)*10,[1]Hugst!$R$4:$W$4,0))))</f>
        <v>0</v>
      </c>
      <c r="H242">
        <f ca="1">IF($C242-H$1&lt;År1,0,G241*(1-VLOOKUP($A242,[1]Hugst!$R$5:$W$9,MATCH(ROUNDUP((H$1)/10,0)*10,[1]Hugst!$R$4:$W$4,0))))</f>
        <v>0</v>
      </c>
      <c r="I242">
        <f ca="1">IF($C242-I$1&lt;År1,0,H241*(1-VLOOKUP($A242,[1]Hugst!$R$5:$W$9,MATCH(ROUNDUP((I$1)/10,0)*10,[1]Hugst!$R$4:$W$4,0))))</f>
        <v>0</v>
      </c>
      <c r="J242">
        <f ca="1">IF($C242-J$1&lt;År1,0,I241*(1-VLOOKUP($A242,[1]Hugst!$R$5:$W$9,MATCH(ROUNDUP((J$1)/10,0)*10,[1]Hugst!$R$4:$W$4,0))))</f>
        <v>0</v>
      </c>
      <c r="K242">
        <f ca="1">IF($C242-K$1&lt;År1,0,J241*(1-VLOOKUP($A242,[1]Hugst!$R$5:$W$9,MATCH(ROUNDUP((K$1)/10,0)*10,[1]Hugst!$R$4:$W$4,0))))</f>
        <v>0</v>
      </c>
      <c r="L242">
        <f ca="1">IF($C242-L$1&lt;År1,0,K241*(1-VLOOKUP($A242,[1]Hugst!$R$5:$W$9,MATCH(ROUNDUP((L$1)/10,0)*10,[1]Hugst!$R$4:$W$4,0))))</f>
        <v>0</v>
      </c>
      <c r="M242">
        <f ca="1">IF($C242-M$1&lt;År1,0,L241*(1-VLOOKUP($A242,[1]Hugst!$R$5:$W$9,MATCH(ROUNDUP((M$1)/10,0)*10,[1]Hugst!$R$4:$W$4,0))))</f>
        <v>0</v>
      </c>
      <c r="N242">
        <f ca="1">IF($C242-N$1&lt;År1,0,M241*(1-VLOOKUP($A242,[1]Hugst!$R$5:$W$9,MATCH(ROUNDUP((N$1)/10,0)*10,[1]Hugst!$R$4:$W$4,0))))</f>
        <v>0</v>
      </c>
      <c r="O242">
        <f ca="1">IF($C242-O$1&lt;År1,0,N241*(1-VLOOKUP($A242,[1]Hugst!$R$5:$W$9,MATCH(ROUNDUP((O$1)/10,0)*10,[1]Hugst!$R$4:$W$4,0))))</f>
        <v>0</v>
      </c>
      <c r="P242">
        <f ca="1">IF($C242-P$1&lt;År1,0,O241*(1-VLOOKUP($A242,[1]Hugst!$R$5:$W$9,MATCH(ROUNDUP((P$1)/10,0)*10,[1]Hugst!$R$4:$W$4,0))))</f>
        <v>0</v>
      </c>
      <c r="Q242">
        <f ca="1">IF($C242-Q$1&lt;År1,0,P241*(1-VLOOKUP($A242,[1]Hugst!$R$5:$W$9,MATCH(ROUNDUP((Q$1)/10,0)*10,[1]Hugst!$R$4:$W$4,0))))</f>
        <v>0</v>
      </c>
      <c r="R242">
        <f ca="1">IF($C242-R$1&lt;År1,0,Q241*(1-VLOOKUP($A242,[1]Hugst!$R$5:$W$9,MATCH(ROUNDUP((R$1)/10,0)*10,[1]Hugst!$R$4:$W$4,0))))</f>
        <v>0</v>
      </c>
      <c r="S242">
        <f ca="1">IF($C242-S$1&lt;År1,0,R241*(1-VLOOKUP($A242,[1]Hugst!$R$5:$W$9,MATCH(ROUNDUP((S$1)/10,0)*10,[1]Hugst!$R$4:$W$4,0))))</f>
        <v>0</v>
      </c>
      <c r="T242">
        <f ca="1">IF($C242-T$1&lt;År1,0,S241*(1-VLOOKUP($A242,[1]Hugst!$R$5:$W$9,MATCH(ROUNDUP((T$1)/10,0)*10,[1]Hugst!$R$4:$W$4,0))))</f>
        <v>0</v>
      </c>
      <c r="U242">
        <f ca="1">IF($C242-U$1&lt;År1,0,T241*(1-VLOOKUP($A242,[1]Hugst!$R$5:$W$9,MATCH(ROUNDUP((U$1)/10,0)*10,[1]Hugst!$R$4:$W$4,0))))</f>
        <v>0</v>
      </c>
      <c r="V242">
        <f ca="1">IF($C242-V$1&lt;År1,0,U241*(1-VLOOKUP($A242,[1]Hugst!$R$5:$W$9,MATCH(ROUNDUP((V$1)/10,0)*10,[1]Hugst!$R$4:$W$4,0))))</f>
        <v>0</v>
      </c>
      <c r="W242">
        <f ca="1">IF($C242-W$1&lt;År1,0,V241*(1-VLOOKUP($A242,[1]Hugst!$R$5:$W$9,MATCH(ROUNDUP((W$1)/10,0)*10,[1]Hugst!$R$4:$W$4,0))))</f>
        <v>0</v>
      </c>
      <c r="X242">
        <f ca="1">IF($C242-X$1&lt;År1,0,W241*(1-VLOOKUP($A242,[1]Hugst!$R$5:$W$9,MATCH(ROUNDUP((X$1)/10,0)*10,[1]Hugst!$R$4:$W$4,0))))</f>
        <v>0</v>
      </c>
      <c r="Y242">
        <f ca="1">IF($C242-Y$1&lt;År1,0,X241*(1-VLOOKUP($A242,[1]Hugst!$R$5:$W$9,MATCH(ROUNDUP((Y$1)/10,0)*10,[1]Hugst!$R$4:$W$4,0))))</f>
        <v>0</v>
      </c>
      <c r="Z242">
        <f ca="1">IF($C242-Z$1&lt;År1,0,Y241*(1-VLOOKUP($A242,[1]Hugst!$R$5:$W$9,MATCH(ROUNDUP((Z$1)/10,0)*10,[1]Hugst!$R$4:$W$4,0))))</f>
        <v>0</v>
      </c>
      <c r="AA242">
        <f ca="1">IF($C242-AA$1&lt;År1,0,Z241*(1-VLOOKUP($A242,[1]Hugst!$R$5:$W$9,MATCH(ROUNDUP((AA$1)/10,0)*10,[1]Hugst!$R$4:$W$4,0))))</f>
        <v>0</v>
      </c>
      <c r="AB242">
        <f ca="1">IF($C242-AB$1&lt;År1,0,AA241*(1-VLOOKUP($A242,[1]Hugst!$R$5:$W$9,MATCH(ROUNDUP((AB$1)/10,0)*10,[1]Hugst!$R$4:$W$4,0))))</f>
        <v>0</v>
      </c>
      <c r="AC242">
        <f ca="1">IF($C242-AC$1&lt;År1,0,AB241*(1-VLOOKUP($A242,[1]Hugst!$R$5:$W$9,MATCH(ROUNDUP((AC$1)/10,0)*10,[1]Hugst!$R$4:$W$4,0))))</f>
        <v>0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0</v>
      </c>
      <c r="E243">
        <f t="shared" ca="1" si="5"/>
        <v>0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>
        <f ca="1">IF($C243-G$1&lt;År1,0,F242*(1-VLOOKUP($A243,[1]Hugst!$R$5:$W$9,MATCH(ROUNDUP((G$1)/10,0)*10,[1]Hugst!$R$4:$W$4,0))))</f>
        <v>0</v>
      </c>
      <c r="H243">
        <f ca="1">IF($C243-H$1&lt;År1,0,G242*(1-VLOOKUP($A243,[1]Hugst!$R$5:$W$9,MATCH(ROUNDUP((H$1)/10,0)*10,[1]Hugst!$R$4:$W$4,0))))</f>
        <v>0</v>
      </c>
      <c r="I243">
        <f ca="1">IF($C243-I$1&lt;År1,0,H242*(1-VLOOKUP($A243,[1]Hugst!$R$5:$W$9,MATCH(ROUNDUP((I$1)/10,0)*10,[1]Hugst!$R$4:$W$4,0))))</f>
        <v>0</v>
      </c>
      <c r="J243">
        <f ca="1">IF($C243-J$1&lt;År1,0,I242*(1-VLOOKUP($A243,[1]Hugst!$R$5:$W$9,MATCH(ROUNDUP((J$1)/10,0)*10,[1]Hugst!$R$4:$W$4,0))))</f>
        <v>0</v>
      </c>
      <c r="K243">
        <f ca="1">IF($C243-K$1&lt;År1,0,J242*(1-VLOOKUP($A243,[1]Hugst!$R$5:$W$9,MATCH(ROUNDUP((K$1)/10,0)*10,[1]Hugst!$R$4:$W$4,0))))</f>
        <v>0</v>
      </c>
      <c r="L243">
        <f ca="1">IF($C243-L$1&lt;År1,0,K242*(1-VLOOKUP($A243,[1]Hugst!$R$5:$W$9,MATCH(ROUNDUP((L$1)/10,0)*10,[1]Hugst!$R$4:$W$4,0))))</f>
        <v>0</v>
      </c>
      <c r="M243">
        <f ca="1">IF($C243-M$1&lt;År1,0,L242*(1-VLOOKUP($A243,[1]Hugst!$R$5:$W$9,MATCH(ROUNDUP((M$1)/10,0)*10,[1]Hugst!$R$4:$W$4,0))))</f>
        <v>0</v>
      </c>
      <c r="N243">
        <f ca="1">IF($C243-N$1&lt;År1,0,M242*(1-VLOOKUP($A243,[1]Hugst!$R$5:$W$9,MATCH(ROUNDUP((N$1)/10,0)*10,[1]Hugst!$R$4:$W$4,0))))</f>
        <v>0</v>
      </c>
      <c r="O243">
        <f ca="1">IF($C243-O$1&lt;År1,0,N242*(1-VLOOKUP($A243,[1]Hugst!$R$5:$W$9,MATCH(ROUNDUP((O$1)/10,0)*10,[1]Hugst!$R$4:$W$4,0))))</f>
        <v>0</v>
      </c>
      <c r="P243">
        <f ca="1">IF($C243-P$1&lt;År1,0,O242*(1-VLOOKUP($A243,[1]Hugst!$R$5:$W$9,MATCH(ROUNDUP((P$1)/10,0)*10,[1]Hugst!$R$4:$W$4,0))))</f>
        <v>0</v>
      </c>
      <c r="Q243">
        <f ca="1">IF($C243-Q$1&lt;År1,0,P242*(1-VLOOKUP($A243,[1]Hugst!$R$5:$W$9,MATCH(ROUNDUP((Q$1)/10,0)*10,[1]Hugst!$R$4:$W$4,0))))</f>
        <v>0</v>
      </c>
      <c r="R243">
        <f ca="1">IF($C243-R$1&lt;År1,0,Q242*(1-VLOOKUP($A243,[1]Hugst!$R$5:$W$9,MATCH(ROUNDUP((R$1)/10,0)*10,[1]Hugst!$R$4:$W$4,0))))</f>
        <v>0</v>
      </c>
      <c r="S243">
        <f ca="1">IF($C243-S$1&lt;År1,0,R242*(1-VLOOKUP($A243,[1]Hugst!$R$5:$W$9,MATCH(ROUNDUP((S$1)/10,0)*10,[1]Hugst!$R$4:$W$4,0))))</f>
        <v>0</v>
      </c>
      <c r="T243">
        <f ca="1">IF($C243-T$1&lt;År1,0,S242*(1-VLOOKUP($A243,[1]Hugst!$R$5:$W$9,MATCH(ROUNDUP((T$1)/10,0)*10,[1]Hugst!$R$4:$W$4,0))))</f>
        <v>0</v>
      </c>
      <c r="U243">
        <f ca="1">IF($C243-U$1&lt;År1,0,T242*(1-VLOOKUP($A243,[1]Hugst!$R$5:$W$9,MATCH(ROUNDUP((U$1)/10,0)*10,[1]Hugst!$R$4:$W$4,0))))</f>
        <v>0</v>
      </c>
      <c r="V243">
        <f ca="1">IF($C243-V$1&lt;År1,0,U242*(1-VLOOKUP($A243,[1]Hugst!$R$5:$W$9,MATCH(ROUNDUP((V$1)/10,0)*10,[1]Hugst!$R$4:$W$4,0))))</f>
        <v>0</v>
      </c>
      <c r="W243">
        <f ca="1">IF($C243-W$1&lt;År1,0,V242*(1-VLOOKUP($A243,[1]Hugst!$R$5:$W$9,MATCH(ROUNDUP((W$1)/10,0)*10,[1]Hugst!$R$4:$W$4,0))))</f>
        <v>0</v>
      </c>
      <c r="X243">
        <f ca="1">IF($C243-X$1&lt;År1,0,W242*(1-VLOOKUP($A243,[1]Hugst!$R$5:$W$9,MATCH(ROUNDUP((X$1)/10,0)*10,[1]Hugst!$R$4:$W$4,0))))</f>
        <v>0</v>
      </c>
      <c r="Y243">
        <f ca="1">IF($C243-Y$1&lt;År1,0,X242*(1-VLOOKUP($A243,[1]Hugst!$R$5:$W$9,MATCH(ROUNDUP((Y$1)/10,0)*10,[1]Hugst!$R$4:$W$4,0))))</f>
        <v>0</v>
      </c>
      <c r="Z243">
        <f ca="1">IF($C243-Z$1&lt;År1,0,Y242*(1-VLOOKUP($A243,[1]Hugst!$R$5:$W$9,MATCH(ROUNDUP((Z$1)/10,0)*10,[1]Hugst!$R$4:$W$4,0))))</f>
        <v>0</v>
      </c>
      <c r="AA243">
        <f ca="1">IF($C243-AA$1&lt;År1,0,Z242*(1-VLOOKUP($A243,[1]Hugst!$R$5:$W$9,MATCH(ROUNDUP((AA$1)/10,0)*10,[1]Hugst!$R$4:$W$4,0))))</f>
        <v>0</v>
      </c>
      <c r="AB243">
        <f ca="1">IF($C243-AB$1&lt;År1,0,AA242*(1-VLOOKUP($A243,[1]Hugst!$R$5:$W$9,MATCH(ROUNDUP((AB$1)/10,0)*10,[1]Hugst!$R$4:$W$4,0))))</f>
        <v>0</v>
      </c>
      <c r="AC243">
        <f ca="1">IF($C243-AC$1&lt;År1,0,AB242*(1-VLOOKUP($A243,[1]Hugst!$R$5:$W$9,MATCH(ROUNDUP((AC$1)/10,0)*10,[1]Hugst!$R$4:$W$4,0))))</f>
        <v>0</v>
      </c>
      <c r="AD243">
        <f ca="1">IF($C243-AD$1&lt;År1,0,AC242*(1-VLOOKUP($A243,[1]Hugst!$R$5:$W$9,MATCH(ROUNDUP((AD$1)/10,0)*10,[1]Hugst!$R$4:$W$4,0))))</f>
        <v>0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0</v>
      </c>
      <c r="E244">
        <f t="shared" ca="1" si="5"/>
        <v>0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>
        <f ca="1">IF($C244-G$1&lt;År1,0,F243*(1-VLOOKUP($A244,[1]Hugst!$R$5:$W$9,MATCH(ROUNDUP((G$1)/10,0)*10,[1]Hugst!$R$4:$W$4,0))))</f>
        <v>0</v>
      </c>
      <c r="H244">
        <f ca="1">IF($C244-H$1&lt;År1,0,G243*(1-VLOOKUP($A244,[1]Hugst!$R$5:$W$9,MATCH(ROUNDUP((H$1)/10,0)*10,[1]Hugst!$R$4:$W$4,0))))</f>
        <v>0</v>
      </c>
      <c r="I244">
        <f ca="1">IF($C244-I$1&lt;År1,0,H243*(1-VLOOKUP($A244,[1]Hugst!$R$5:$W$9,MATCH(ROUNDUP((I$1)/10,0)*10,[1]Hugst!$R$4:$W$4,0))))</f>
        <v>0</v>
      </c>
      <c r="J244">
        <f ca="1">IF($C244-J$1&lt;År1,0,I243*(1-VLOOKUP($A244,[1]Hugst!$R$5:$W$9,MATCH(ROUNDUP((J$1)/10,0)*10,[1]Hugst!$R$4:$W$4,0))))</f>
        <v>0</v>
      </c>
      <c r="K244">
        <f ca="1">IF($C244-K$1&lt;År1,0,J243*(1-VLOOKUP($A244,[1]Hugst!$R$5:$W$9,MATCH(ROUNDUP((K$1)/10,0)*10,[1]Hugst!$R$4:$W$4,0))))</f>
        <v>0</v>
      </c>
      <c r="L244">
        <f ca="1">IF($C244-L$1&lt;År1,0,K243*(1-VLOOKUP($A244,[1]Hugst!$R$5:$W$9,MATCH(ROUNDUP((L$1)/10,0)*10,[1]Hugst!$R$4:$W$4,0))))</f>
        <v>0</v>
      </c>
      <c r="M244">
        <f ca="1">IF($C244-M$1&lt;År1,0,L243*(1-VLOOKUP($A244,[1]Hugst!$R$5:$W$9,MATCH(ROUNDUP((M$1)/10,0)*10,[1]Hugst!$R$4:$W$4,0))))</f>
        <v>0</v>
      </c>
      <c r="N244">
        <f ca="1">IF($C244-N$1&lt;År1,0,M243*(1-VLOOKUP($A244,[1]Hugst!$R$5:$W$9,MATCH(ROUNDUP((N$1)/10,0)*10,[1]Hugst!$R$4:$W$4,0))))</f>
        <v>0</v>
      </c>
      <c r="O244">
        <f ca="1">IF($C244-O$1&lt;År1,0,N243*(1-VLOOKUP($A244,[1]Hugst!$R$5:$W$9,MATCH(ROUNDUP((O$1)/10,0)*10,[1]Hugst!$R$4:$W$4,0))))</f>
        <v>0</v>
      </c>
      <c r="P244">
        <f ca="1">IF($C244-P$1&lt;År1,0,O243*(1-VLOOKUP($A244,[1]Hugst!$R$5:$W$9,MATCH(ROUNDUP((P$1)/10,0)*10,[1]Hugst!$R$4:$W$4,0))))</f>
        <v>0</v>
      </c>
      <c r="Q244">
        <f ca="1">IF($C244-Q$1&lt;År1,0,P243*(1-VLOOKUP($A244,[1]Hugst!$R$5:$W$9,MATCH(ROUNDUP((Q$1)/10,0)*10,[1]Hugst!$R$4:$W$4,0))))</f>
        <v>0</v>
      </c>
      <c r="R244">
        <f ca="1">IF($C244-R$1&lt;År1,0,Q243*(1-VLOOKUP($A244,[1]Hugst!$R$5:$W$9,MATCH(ROUNDUP((R$1)/10,0)*10,[1]Hugst!$R$4:$W$4,0))))</f>
        <v>0</v>
      </c>
      <c r="S244">
        <f ca="1">IF($C244-S$1&lt;År1,0,R243*(1-VLOOKUP($A244,[1]Hugst!$R$5:$W$9,MATCH(ROUNDUP((S$1)/10,0)*10,[1]Hugst!$R$4:$W$4,0))))</f>
        <v>0</v>
      </c>
      <c r="T244">
        <f ca="1">IF($C244-T$1&lt;År1,0,S243*(1-VLOOKUP($A244,[1]Hugst!$R$5:$W$9,MATCH(ROUNDUP((T$1)/10,0)*10,[1]Hugst!$R$4:$W$4,0))))</f>
        <v>0</v>
      </c>
      <c r="U244">
        <f ca="1">IF($C244-U$1&lt;År1,0,T243*(1-VLOOKUP($A244,[1]Hugst!$R$5:$W$9,MATCH(ROUNDUP((U$1)/10,0)*10,[1]Hugst!$R$4:$W$4,0))))</f>
        <v>0</v>
      </c>
      <c r="V244">
        <f ca="1">IF($C244-V$1&lt;År1,0,U243*(1-VLOOKUP($A244,[1]Hugst!$R$5:$W$9,MATCH(ROUNDUP((V$1)/10,0)*10,[1]Hugst!$R$4:$W$4,0))))</f>
        <v>0</v>
      </c>
      <c r="W244">
        <f ca="1">IF($C244-W$1&lt;År1,0,V243*(1-VLOOKUP($A244,[1]Hugst!$R$5:$W$9,MATCH(ROUNDUP((W$1)/10,0)*10,[1]Hugst!$R$4:$W$4,0))))</f>
        <v>0</v>
      </c>
      <c r="X244">
        <f ca="1">IF($C244-X$1&lt;År1,0,W243*(1-VLOOKUP($A244,[1]Hugst!$R$5:$W$9,MATCH(ROUNDUP((X$1)/10,0)*10,[1]Hugst!$R$4:$W$4,0))))</f>
        <v>0</v>
      </c>
      <c r="Y244">
        <f ca="1">IF($C244-Y$1&lt;År1,0,X243*(1-VLOOKUP($A244,[1]Hugst!$R$5:$W$9,MATCH(ROUNDUP((Y$1)/10,0)*10,[1]Hugst!$R$4:$W$4,0))))</f>
        <v>0</v>
      </c>
      <c r="Z244">
        <f ca="1">IF($C244-Z$1&lt;År1,0,Y243*(1-VLOOKUP($A244,[1]Hugst!$R$5:$W$9,MATCH(ROUNDUP((Z$1)/10,0)*10,[1]Hugst!$R$4:$W$4,0))))</f>
        <v>0</v>
      </c>
      <c r="AA244">
        <f ca="1">IF($C244-AA$1&lt;År1,0,Z243*(1-VLOOKUP($A244,[1]Hugst!$R$5:$W$9,MATCH(ROUNDUP((AA$1)/10,0)*10,[1]Hugst!$R$4:$W$4,0))))</f>
        <v>0</v>
      </c>
      <c r="AB244">
        <f ca="1">IF($C244-AB$1&lt;År1,0,AA243*(1-VLOOKUP($A244,[1]Hugst!$R$5:$W$9,MATCH(ROUNDUP((AB$1)/10,0)*10,[1]Hugst!$R$4:$W$4,0))))</f>
        <v>0</v>
      </c>
      <c r="AC244">
        <f ca="1">IF($C244-AC$1&lt;År1,0,AB243*(1-VLOOKUP($A244,[1]Hugst!$R$5:$W$9,MATCH(ROUNDUP((AC$1)/10,0)*10,[1]Hugst!$R$4:$W$4,0))))</f>
        <v>0</v>
      </c>
      <c r="AD244">
        <f ca="1">IF($C244-AD$1&lt;År1,0,AC243*(1-VLOOKUP($A244,[1]Hugst!$R$5:$W$9,MATCH(ROUNDUP((AD$1)/10,0)*10,[1]Hugst!$R$4:$W$4,0))))</f>
        <v>0</v>
      </c>
      <c r="AE244">
        <f ca="1">IF($C244-AE$1&lt;År1,0,AD243*(1-VLOOKUP($A244,[1]Hugst!$R$5:$W$9,MATCH(ROUNDUP((AE$1)/10,0)*10,[1]Hugst!$R$4:$W$4,0))))</f>
        <v>0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0</v>
      </c>
      <c r="E245">
        <f t="shared" ca="1" si="5"/>
        <v>0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>
        <f ca="1">IF($C245-G$1&lt;År1,0,F244*(1-VLOOKUP($A245,[1]Hugst!$R$5:$W$9,MATCH(ROUNDUP((G$1)/10,0)*10,[1]Hugst!$R$4:$W$4,0))))</f>
        <v>0</v>
      </c>
      <c r="H245">
        <f ca="1">IF($C245-H$1&lt;År1,0,G244*(1-VLOOKUP($A245,[1]Hugst!$R$5:$W$9,MATCH(ROUNDUP((H$1)/10,0)*10,[1]Hugst!$R$4:$W$4,0))))</f>
        <v>0</v>
      </c>
      <c r="I245">
        <f ca="1">IF($C245-I$1&lt;År1,0,H244*(1-VLOOKUP($A245,[1]Hugst!$R$5:$W$9,MATCH(ROUNDUP((I$1)/10,0)*10,[1]Hugst!$R$4:$W$4,0))))</f>
        <v>0</v>
      </c>
      <c r="J245">
        <f ca="1">IF($C245-J$1&lt;År1,0,I244*(1-VLOOKUP($A245,[1]Hugst!$R$5:$W$9,MATCH(ROUNDUP((J$1)/10,0)*10,[1]Hugst!$R$4:$W$4,0))))</f>
        <v>0</v>
      </c>
      <c r="K245">
        <f ca="1">IF($C245-K$1&lt;År1,0,J244*(1-VLOOKUP($A245,[1]Hugst!$R$5:$W$9,MATCH(ROUNDUP((K$1)/10,0)*10,[1]Hugst!$R$4:$W$4,0))))</f>
        <v>0</v>
      </c>
      <c r="L245">
        <f ca="1">IF($C245-L$1&lt;År1,0,K244*(1-VLOOKUP($A245,[1]Hugst!$R$5:$W$9,MATCH(ROUNDUP((L$1)/10,0)*10,[1]Hugst!$R$4:$W$4,0))))</f>
        <v>0</v>
      </c>
      <c r="M245">
        <f ca="1">IF($C245-M$1&lt;År1,0,L244*(1-VLOOKUP($A245,[1]Hugst!$R$5:$W$9,MATCH(ROUNDUP((M$1)/10,0)*10,[1]Hugst!$R$4:$W$4,0))))</f>
        <v>0</v>
      </c>
      <c r="N245">
        <f ca="1">IF($C245-N$1&lt;År1,0,M244*(1-VLOOKUP($A245,[1]Hugst!$R$5:$W$9,MATCH(ROUNDUP((N$1)/10,0)*10,[1]Hugst!$R$4:$W$4,0))))</f>
        <v>0</v>
      </c>
      <c r="O245">
        <f ca="1">IF($C245-O$1&lt;År1,0,N244*(1-VLOOKUP($A245,[1]Hugst!$R$5:$W$9,MATCH(ROUNDUP((O$1)/10,0)*10,[1]Hugst!$R$4:$W$4,0))))</f>
        <v>0</v>
      </c>
      <c r="P245">
        <f ca="1">IF($C245-P$1&lt;År1,0,O244*(1-VLOOKUP($A245,[1]Hugst!$R$5:$W$9,MATCH(ROUNDUP((P$1)/10,0)*10,[1]Hugst!$R$4:$W$4,0))))</f>
        <v>0</v>
      </c>
      <c r="Q245">
        <f ca="1">IF($C245-Q$1&lt;År1,0,P244*(1-VLOOKUP($A245,[1]Hugst!$R$5:$W$9,MATCH(ROUNDUP((Q$1)/10,0)*10,[1]Hugst!$R$4:$W$4,0))))</f>
        <v>0</v>
      </c>
      <c r="R245">
        <f ca="1">IF($C245-R$1&lt;År1,0,Q244*(1-VLOOKUP($A245,[1]Hugst!$R$5:$W$9,MATCH(ROUNDUP((R$1)/10,0)*10,[1]Hugst!$R$4:$W$4,0))))</f>
        <v>0</v>
      </c>
      <c r="S245">
        <f ca="1">IF($C245-S$1&lt;År1,0,R244*(1-VLOOKUP($A245,[1]Hugst!$R$5:$W$9,MATCH(ROUNDUP((S$1)/10,0)*10,[1]Hugst!$R$4:$W$4,0))))</f>
        <v>0</v>
      </c>
      <c r="T245">
        <f ca="1">IF($C245-T$1&lt;År1,0,S244*(1-VLOOKUP($A245,[1]Hugst!$R$5:$W$9,MATCH(ROUNDUP((T$1)/10,0)*10,[1]Hugst!$R$4:$W$4,0))))</f>
        <v>0</v>
      </c>
      <c r="U245">
        <f ca="1">IF($C245-U$1&lt;År1,0,T244*(1-VLOOKUP($A245,[1]Hugst!$R$5:$W$9,MATCH(ROUNDUP((U$1)/10,0)*10,[1]Hugst!$R$4:$W$4,0))))</f>
        <v>0</v>
      </c>
      <c r="V245">
        <f ca="1">IF($C245-V$1&lt;År1,0,U244*(1-VLOOKUP($A245,[1]Hugst!$R$5:$W$9,MATCH(ROUNDUP((V$1)/10,0)*10,[1]Hugst!$R$4:$W$4,0))))</f>
        <v>0</v>
      </c>
      <c r="W245">
        <f ca="1">IF($C245-W$1&lt;År1,0,V244*(1-VLOOKUP($A245,[1]Hugst!$R$5:$W$9,MATCH(ROUNDUP((W$1)/10,0)*10,[1]Hugst!$R$4:$W$4,0))))</f>
        <v>0</v>
      </c>
      <c r="X245">
        <f ca="1">IF($C245-X$1&lt;År1,0,W244*(1-VLOOKUP($A245,[1]Hugst!$R$5:$W$9,MATCH(ROUNDUP((X$1)/10,0)*10,[1]Hugst!$R$4:$W$4,0))))</f>
        <v>0</v>
      </c>
      <c r="Y245">
        <f ca="1">IF($C245-Y$1&lt;År1,0,X244*(1-VLOOKUP($A245,[1]Hugst!$R$5:$W$9,MATCH(ROUNDUP((Y$1)/10,0)*10,[1]Hugst!$R$4:$W$4,0))))</f>
        <v>0</v>
      </c>
      <c r="Z245">
        <f ca="1">IF($C245-Z$1&lt;År1,0,Y244*(1-VLOOKUP($A245,[1]Hugst!$R$5:$W$9,MATCH(ROUNDUP((Z$1)/10,0)*10,[1]Hugst!$R$4:$W$4,0))))</f>
        <v>0</v>
      </c>
      <c r="AA245">
        <f ca="1">IF($C245-AA$1&lt;År1,0,Z244*(1-VLOOKUP($A245,[1]Hugst!$R$5:$W$9,MATCH(ROUNDUP((AA$1)/10,0)*10,[1]Hugst!$R$4:$W$4,0))))</f>
        <v>0</v>
      </c>
      <c r="AB245">
        <f ca="1">IF($C245-AB$1&lt;År1,0,AA244*(1-VLOOKUP($A245,[1]Hugst!$R$5:$W$9,MATCH(ROUNDUP((AB$1)/10,0)*10,[1]Hugst!$R$4:$W$4,0))))</f>
        <v>0</v>
      </c>
      <c r="AC245">
        <f ca="1">IF($C245-AC$1&lt;År1,0,AB244*(1-VLOOKUP($A245,[1]Hugst!$R$5:$W$9,MATCH(ROUNDUP((AC$1)/10,0)*10,[1]Hugst!$R$4:$W$4,0))))</f>
        <v>0</v>
      </c>
      <c r="AD245">
        <f ca="1">IF($C245-AD$1&lt;År1,0,AC244*(1-VLOOKUP($A245,[1]Hugst!$R$5:$W$9,MATCH(ROUNDUP((AD$1)/10,0)*10,[1]Hugst!$R$4:$W$4,0))))</f>
        <v>0</v>
      </c>
      <c r="AE245">
        <f ca="1">IF($C245-AE$1&lt;År1,0,AD244*(1-VLOOKUP($A245,[1]Hugst!$R$5:$W$9,MATCH(ROUNDUP((AE$1)/10,0)*10,[1]Hugst!$R$4:$W$4,0))))</f>
        <v>0</v>
      </c>
      <c r="AF245">
        <f ca="1">IF($C245-AF$1&lt;År1,0,AE244*(1-VLOOKUP($A245,[1]Hugst!$R$5:$W$9,MATCH(ROUNDUP((AF$1)/10,0)*10,[1]Hugst!$R$4:$W$4,0))))</f>
        <v>0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0</v>
      </c>
      <c r="E246">
        <f t="shared" ca="1" si="5"/>
        <v>0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>
        <f ca="1">IF($C246-G$1&lt;År1,0,F245*(1-VLOOKUP($A246,[1]Hugst!$R$5:$W$9,MATCH(ROUNDUP((G$1)/10,0)*10,[1]Hugst!$R$4:$W$4,0))))</f>
        <v>0</v>
      </c>
      <c r="H246">
        <f ca="1">IF($C246-H$1&lt;År1,0,G245*(1-VLOOKUP($A246,[1]Hugst!$R$5:$W$9,MATCH(ROUNDUP((H$1)/10,0)*10,[1]Hugst!$R$4:$W$4,0))))</f>
        <v>0</v>
      </c>
      <c r="I246">
        <f ca="1">IF($C246-I$1&lt;År1,0,H245*(1-VLOOKUP($A246,[1]Hugst!$R$5:$W$9,MATCH(ROUNDUP((I$1)/10,0)*10,[1]Hugst!$R$4:$W$4,0))))</f>
        <v>0</v>
      </c>
      <c r="J246">
        <f ca="1">IF($C246-J$1&lt;År1,0,I245*(1-VLOOKUP($A246,[1]Hugst!$R$5:$W$9,MATCH(ROUNDUP((J$1)/10,0)*10,[1]Hugst!$R$4:$W$4,0))))</f>
        <v>0</v>
      </c>
      <c r="K246">
        <f ca="1">IF($C246-K$1&lt;År1,0,J245*(1-VLOOKUP($A246,[1]Hugst!$R$5:$W$9,MATCH(ROUNDUP((K$1)/10,0)*10,[1]Hugst!$R$4:$W$4,0))))</f>
        <v>0</v>
      </c>
      <c r="L246">
        <f ca="1">IF($C246-L$1&lt;År1,0,K245*(1-VLOOKUP($A246,[1]Hugst!$R$5:$W$9,MATCH(ROUNDUP((L$1)/10,0)*10,[1]Hugst!$R$4:$W$4,0))))</f>
        <v>0</v>
      </c>
      <c r="M246">
        <f ca="1">IF($C246-M$1&lt;År1,0,L245*(1-VLOOKUP($A246,[1]Hugst!$R$5:$W$9,MATCH(ROUNDUP((M$1)/10,0)*10,[1]Hugst!$R$4:$W$4,0))))</f>
        <v>0</v>
      </c>
      <c r="N246">
        <f ca="1">IF($C246-N$1&lt;År1,0,M245*(1-VLOOKUP($A246,[1]Hugst!$R$5:$W$9,MATCH(ROUNDUP((N$1)/10,0)*10,[1]Hugst!$R$4:$W$4,0))))</f>
        <v>0</v>
      </c>
      <c r="O246">
        <f ca="1">IF($C246-O$1&lt;År1,0,N245*(1-VLOOKUP($A246,[1]Hugst!$R$5:$W$9,MATCH(ROUNDUP((O$1)/10,0)*10,[1]Hugst!$R$4:$W$4,0))))</f>
        <v>0</v>
      </c>
      <c r="P246">
        <f ca="1">IF($C246-P$1&lt;År1,0,O245*(1-VLOOKUP($A246,[1]Hugst!$R$5:$W$9,MATCH(ROUNDUP((P$1)/10,0)*10,[1]Hugst!$R$4:$W$4,0))))</f>
        <v>0</v>
      </c>
      <c r="Q246">
        <f ca="1">IF($C246-Q$1&lt;År1,0,P245*(1-VLOOKUP($A246,[1]Hugst!$R$5:$W$9,MATCH(ROUNDUP((Q$1)/10,0)*10,[1]Hugst!$R$4:$W$4,0))))</f>
        <v>0</v>
      </c>
      <c r="R246">
        <f ca="1">IF($C246-R$1&lt;År1,0,Q245*(1-VLOOKUP($A246,[1]Hugst!$R$5:$W$9,MATCH(ROUNDUP((R$1)/10,0)*10,[1]Hugst!$R$4:$W$4,0))))</f>
        <v>0</v>
      </c>
      <c r="S246">
        <f ca="1">IF($C246-S$1&lt;År1,0,R245*(1-VLOOKUP($A246,[1]Hugst!$R$5:$W$9,MATCH(ROUNDUP((S$1)/10,0)*10,[1]Hugst!$R$4:$W$4,0))))</f>
        <v>0</v>
      </c>
      <c r="T246">
        <f ca="1">IF($C246-T$1&lt;År1,0,S245*(1-VLOOKUP($A246,[1]Hugst!$R$5:$W$9,MATCH(ROUNDUP((T$1)/10,0)*10,[1]Hugst!$R$4:$W$4,0))))</f>
        <v>0</v>
      </c>
      <c r="U246">
        <f ca="1">IF($C246-U$1&lt;År1,0,T245*(1-VLOOKUP($A246,[1]Hugst!$R$5:$W$9,MATCH(ROUNDUP((U$1)/10,0)*10,[1]Hugst!$R$4:$W$4,0))))</f>
        <v>0</v>
      </c>
      <c r="V246">
        <f ca="1">IF($C246-V$1&lt;År1,0,U245*(1-VLOOKUP($A246,[1]Hugst!$R$5:$W$9,MATCH(ROUNDUP((V$1)/10,0)*10,[1]Hugst!$R$4:$W$4,0))))</f>
        <v>0</v>
      </c>
      <c r="W246">
        <f ca="1">IF($C246-W$1&lt;År1,0,V245*(1-VLOOKUP($A246,[1]Hugst!$R$5:$W$9,MATCH(ROUNDUP((W$1)/10,0)*10,[1]Hugst!$R$4:$W$4,0))))</f>
        <v>0</v>
      </c>
      <c r="X246">
        <f ca="1">IF($C246-X$1&lt;År1,0,W245*(1-VLOOKUP($A246,[1]Hugst!$R$5:$W$9,MATCH(ROUNDUP((X$1)/10,0)*10,[1]Hugst!$R$4:$W$4,0))))</f>
        <v>0</v>
      </c>
      <c r="Y246">
        <f ca="1">IF($C246-Y$1&lt;År1,0,X245*(1-VLOOKUP($A246,[1]Hugst!$R$5:$W$9,MATCH(ROUNDUP((Y$1)/10,0)*10,[1]Hugst!$R$4:$W$4,0))))</f>
        <v>0</v>
      </c>
      <c r="Z246">
        <f ca="1">IF($C246-Z$1&lt;År1,0,Y245*(1-VLOOKUP($A246,[1]Hugst!$R$5:$W$9,MATCH(ROUNDUP((Z$1)/10,0)*10,[1]Hugst!$R$4:$W$4,0))))</f>
        <v>0</v>
      </c>
      <c r="AA246">
        <f ca="1">IF($C246-AA$1&lt;År1,0,Z245*(1-VLOOKUP($A246,[1]Hugst!$R$5:$W$9,MATCH(ROUNDUP((AA$1)/10,0)*10,[1]Hugst!$R$4:$W$4,0))))</f>
        <v>0</v>
      </c>
      <c r="AB246">
        <f ca="1">IF($C246-AB$1&lt;År1,0,AA245*(1-VLOOKUP($A246,[1]Hugst!$R$5:$W$9,MATCH(ROUNDUP((AB$1)/10,0)*10,[1]Hugst!$R$4:$W$4,0))))</f>
        <v>0</v>
      </c>
      <c r="AC246">
        <f ca="1">IF($C246-AC$1&lt;År1,0,AB245*(1-VLOOKUP($A246,[1]Hugst!$R$5:$W$9,MATCH(ROUNDUP((AC$1)/10,0)*10,[1]Hugst!$R$4:$W$4,0))))</f>
        <v>0</v>
      </c>
      <c r="AD246">
        <f ca="1">IF($C246-AD$1&lt;År1,0,AC245*(1-VLOOKUP($A246,[1]Hugst!$R$5:$W$9,MATCH(ROUNDUP((AD$1)/10,0)*10,[1]Hugst!$R$4:$W$4,0))))</f>
        <v>0</v>
      </c>
      <c r="AE246">
        <f ca="1">IF($C246-AE$1&lt;År1,0,AD245*(1-VLOOKUP($A246,[1]Hugst!$R$5:$W$9,MATCH(ROUNDUP((AE$1)/10,0)*10,[1]Hugst!$R$4:$W$4,0))))</f>
        <v>0</v>
      </c>
      <c r="AF246">
        <f ca="1">IF($C246-AF$1&lt;År1,0,AE245*(1-VLOOKUP($A246,[1]Hugst!$R$5:$W$9,MATCH(ROUNDUP((AF$1)/10,0)*10,[1]Hugst!$R$4:$W$4,0))))</f>
        <v>0</v>
      </c>
      <c r="AG246">
        <f ca="1">IF($C246-AG$1&lt;År1,0,AF245*(1-VLOOKUP($A246,[1]Hugst!$R$5:$W$9,MATCH(ROUNDUP((AG$1)/10,0)*10,[1]Hugst!$R$4:$W$4,0))))</f>
        <v>0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0</v>
      </c>
      <c r="E247">
        <f t="shared" ca="1" si="5"/>
        <v>0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>
        <f ca="1">IF($C247-G$1&lt;År1,0,F246*(1-VLOOKUP($A247,[1]Hugst!$R$5:$W$9,MATCH(ROUNDUP((G$1)/10,0)*10,[1]Hugst!$R$4:$W$4,0))))</f>
        <v>0</v>
      </c>
      <c r="H247">
        <f ca="1">IF($C247-H$1&lt;År1,0,G246*(1-VLOOKUP($A247,[1]Hugst!$R$5:$W$9,MATCH(ROUNDUP((H$1)/10,0)*10,[1]Hugst!$R$4:$W$4,0))))</f>
        <v>0</v>
      </c>
      <c r="I247">
        <f ca="1">IF($C247-I$1&lt;År1,0,H246*(1-VLOOKUP($A247,[1]Hugst!$R$5:$W$9,MATCH(ROUNDUP((I$1)/10,0)*10,[1]Hugst!$R$4:$W$4,0))))</f>
        <v>0</v>
      </c>
      <c r="J247">
        <f ca="1">IF($C247-J$1&lt;År1,0,I246*(1-VLOOKUP($A247,[1]Hugst!$R$5:$W$9,MATCH(ROUNDUP((J$1)/10,0)*10,[1]Hugst!$R$4:$W$4,0))))</f>
        <v>0</v>
      </c>
      <c r="K247">
        <f ca="1">IF($C247-K$1&lt;År1,0,J246*(1-VLOOKUP($A247,[1]Hugst!$R$5:$W$9,MATCH(ROUNDUP((K$1)/10,0)*10,[1]Hugst!$R$4:$W$4,0))))</f>
        <v>0</v>
      </c>
      <c r="L247">
        <f ca="1">IF($C247-L$1&lt;År1,0,K246*(1-VLOOKUP($A247,[1]Hugst!$R$5:$W$9,MATCH(ROUNDUP((L$1)/10,0)*10,[1]Hugst!$R$4:$W$4,0))))</f>
        <v>0</v>
      </c>
      <c r="M247">
        <f ca="1">IF($C247-M$1&lt;År1,0,L246*(1-VLOOKUP($A247,[1]Hugst!$R$5:$W$9,MATCH(ROUNDUP((M$1)/10,0)*10,[1]Hugst!$R$4:$W$4,0))))</f>
        <v>0</v>
      </c>
      <c r="N247">
        <f ca="1">IF($C247-N$1&lt;År1,0,M246*(1-VLOOKUP($A247,[1]Hugst!$R$5:$W$9,MATCH(ROUNDUP((N$1)/10,0)*10,[1]Hugst!$R$4:$W$4,0))))</f>
        <v>0</v>
      </c>
      <c r="O247">
        <f ca="1">IF($C247-O$1&lt;År1,0,N246*(1-VLOOKUP($A247,[1]Hugst!$R$5:$W$9,MATCH(ROUNDUP((O$1)/10,0)*10,[1]Hugst!$R$4:$W$4,0))))</f>
        <v>0</v>
      </c>
      <c r="P247">
        <f ca="1">IF($C247-P$1&lt;År1,0,O246*(1-VLOOKUP($A247,[1]Hugst!$R$5:$W$9,MATCH(ROUNDUP((P$1)/10,0)*10,[1]Hugst!$R$4:$W$4,0))))</f>
        <v>0</v>
      </c>
      <c r="Q247">
        <f ca="1">IF($C247-Q$1&lt;År1,0,P246*(1-VLOOKUP($A247,[1]Hugst!$R$5:$W$9,MATCH(ROUNDUP((Q$1)/10,0)*10,[1]Hugst!$R$4:$W$4,0))))</f>
        <v>0</v>
      </c>
      <c r="R247">
        <f ca="1">IF($C247-R$1&lt;År1,0,Q246*(1-VLOOKUP($A247,[1]Hugst!$R$5:$W$9,MATCH(ROUNDUP((R$1)/10,0)*10,[1]Hugst!$R$4:$W$4,0))))</f>
        <v>0</v>
      </c>
      <c r="S247">
        <f ca="1">IF($C247-S$1&lt;År1,0,R246*(1-VLOOKUP($A247,[1]Hugst!$R$5:$W$9,MATCH(ROUNDUP((S$1)/10,0)*10,[1]Hugst!$R$4:$W$4,0))))</f>
        <v>0</v>
      </c>
      <c r="T247">
        <f ca="1">IF($C247-T$1&lt;År1,0,S246*(1-VLOOKUP($A247,[1]Hugst!$R$5:$W$9,MATCH(ROUNDUP((T$1)/10,0)*10,[1]Hugst!$R$4:$W$4,0))))</f>
        <v>0</v>
      </c>
      <c r="U247">
        <f ca="1">IF($C247-U$1&lt;År1,0,T246*(1-VLOOKUP($A247,[1]Hugst!$R$5:$W$9,MATCH(ROUNDUP((U$1)/10,0)*10,[1]Hugst!$R$4:$W$4,0))))</f>
        <v>0</v>
      </c>
      <c r="V247">
        <f ca="1">IF($C247-V$1&lt;År1,0,U246*(1-VLOOKUP($A247,[1]Hugst!$R$5:$W$9,MATCH(ROUNDUP((V$1)/10,0)*10,[1]Hugst!$R$4:$W$4,0))))</f>
        <v>0</v>
      </c>
      <c r="W247">
        <f ca="1">IF($C247-W$1&lt;År1,0,V246*(1-VLOOKUP($A247,[1]Hugst!$R$5:$W$9,MATCH(ROUNDUP((W$1)/10,0)*10,[1]Hugst!$R$4:$W$4,0))))</f>
        <v>0</v>
      </c>
      <c r="X247">
        <f ca="1">IF($C247-X$1&lt;År1,0,W246*(1-VLOOKUP($A247,[1]Hugst!$R$5:$W$9,MATCH(ROUNDUP((X$1)/10,0)*10,[1]Hugst!$R$4:$W$4,0))))</f>
        <v>0</v>
      </c>
      <c r="Y247">
        <f ca="1">IF($C247-Y$1&lt;År1,0,X246*(1-VLOOKUP($A247,[1]Hugst!$R$5:$W$9,MATCH(ROUNDUP((Y$1)/10,0)*10,[1]Hugst!$R$4:$W$4,0))))</f>
        <v>0</v>
      </c>
      <c r="Z247">
        <f ca="1">IF($C247-Z$1&lt;År1,0,Y246*(1-VLOOKUP($A247,[1]Hugst!$R$5:$W$9,MATCH(ROUNDUP((Z$1)/10,0)*10,[1]Hugst!$R$4:$W$4,0))))</f>
        <v>0</v>
      </c>
      <c r="AA247">
        <f ca="1">IF($C247-AA$1&lt;År1,0,Z246*(1-VLOOKUP($A247,[1]Hugst!$R$5:$W$9,MATCH(ROUNDUP((AA$1)/10,0)*10,[1]Hugst!$R$4:$W$4,0))))</f>
        <v>0</v>
      </c>
      <c r="AB247">
        <f ca="1">IF($C247-AB$1&lt;År1,0,AA246*(1-VLOOKUP($A247,[1]Hugst!$R$5:$W$9,MATCH(ROUNDUP((AB$1)/10,0)*10,[1]Hugst!$R$4:$W$4,0))))</f>
        <v>0</v>
      </c>
      <c r="AC247">
        <f ca="1">IF($C247-AC$1&lt;År1,0,AB246*(1-VLOOKUP($A247,[1]Hugst!$R$5:$W$9,MATCH(ROUNDUP((AC$1)/10,0)*10,[1]Hugst!$R$4:$W$4,0))))</f>
        <v>0</v>
      </c>
      <c r="AD247">
        <f ca="1">IF($C247-AD$1&lt;År1,0,AC246*(1-VLOOKUP($A247,[1]Hugst!$R$5:$W$9,MATCH(ROUNDUP((AD$1)/10,0)*10,[1]Hugst!$R$4:$W$4,0))))</f>
        <v>0</v>
      </c>
      <c r="AE247">
        <f ca="1">IF($C247-AE$1&lt;År1,0,AD246*(1-VLOOKUP($A247,[1]Hugst!$R$5:$W$9,MATCH(ROUNDUP((AE$1)/10,0)*10,[1]Hugst!$R$4:$W$4,0))))</f>
        <v>0</v>
      </c>
      <c r="AF247">
        <f ca="1">IF($C247-AF$1&lt;År1,0,AE246*(1-VLOOKUP($A247,[1]Hugst!$R$5:$W$9,MATCH(ROUNDUP((AF$1)/10,0)*10,[1]Hugst!$R$4:$W$4,0))))</f>
        <v>0</v>
      </c>
      <c r="AG247">
        <f ca="1">IF($C247-AG$1&lt;År1,0,AF246*(1-VLOOKUP($A247,[1]Hugst!$R$5:$W$9,MATCH(ROUNDUP((AG$1)/10,0)*10,[1]Hugst!$R$4:$W$4,0))))</f>
        <v>0</v>
      </c>
      <c r="AH247">
        <f ca="1">IF($C247-AH$1&lt;År1,0,AG246*(1-VLOOKUP($A247,[1]Hugst!$R$5:$W$9,MATCH(ROUNDUP((AH$1)/10,0)*10,[1]Hugst!$R$4:$W$4,0))))</f>
        <v>0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0</v>
      </c>
      <c r="E248">
        <f t="shared" ca="1" si="5"/>
        <v>0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>
        <f ca="1">IF($C248-G$1&lt;År1,0,F247*(1-VLOOKUP($A248,[1]Hugst!$R$5:$W$9,MATCH(ROUNDUP((G$1)/10,0)*10,[1]Hugst!$R$4:$W$4,0))))</f>
        <v>0</v>
      </c>
      <c r="H248">
        <f ca="1">IF($C248-H$1&lt;År1,0,G247*(1-VLOOKUP($A248,[1]Hugst!$R$5:$W$9,MATCH(ROUNDUP((H$1)/10,0)*10,[1]Hugst!$R$4:$W$4,0))))</f>
        <v>0</v>
      </c>
      <c r="I248">
        <f ca="1">IF($C248-I$1&lt;År1,0,H247*(1-VLOOKUP($A248,[1]Hugst!$R$5:$W$9,MATCH(ROUNDUP((I$1)/10,0)*10,[1]Hugst!$R$4:$W$4,0))))</f>
        <v>0</v>
      </c>
      <c r="J248">
        <f ca="1">IF($C248-J$1&lt;År1,0,I247*(1-VLOOKUP($A248,[1]Hugst!$R$5:$W$9,MATCH(ROUNDUP((J$1)/10,0)*10,[1]Hugst!$R$4:$W$4,0))))</f>
        <v>0</v>
      </c>
      <c r="K248">
        <f ca="1">IF($C248-K$1&lt;År1,0,J247*(1-VLOOKUP($A248,[1]Hugst!$R$5:$W$9,MATCH(ROUNDUP((K$1)/10,0)*10,[1]Hugst!$R$4:$W$4,0))))</f>
        <v>0</v>
      </c>
      <c r="L248">
        <f ca="1">IF($C248-L$1&lt;År1,0,K247*(1-VLOOKUP($A248,[1]Hugst!$R$5:$W$9,MATCH(ROUNDUP((L$1)/10,0)*10,[1]Hugst!$R$4:$W$4,0))))</f>
        <v>0</v>
      </c>
      <c r="M248">
        <f ca="1">IF($C248-M$1&lt;År1,0,L247*(1-VLOOKUP($A248,[1]Hugst!$R$5:$W$9,MATCH(ROUNDUP((M$1)/10,0)*10,[1]Hugst!$R$4:$W$4,0))))</f>
        <v>0</v>
      </c>
      <c r="N248">
        <f ca="1">IF($C248-N$1&lt;År1,0,M247*(1-VLOOKUP($A248,[1]Hugst!$R$5:$W$9,MATCH(ROUNDUP((N$1)/10,0)*10,[1]Hugst!$R$4:$W$4,0))))</f>
        <v>0</v>
      </c>
      <c r="O248">
        <f ca="1">IF($C248-O$1&lt;År1,0,N247*(1-VLOOKUP($A248,[1]Hugst!$R$5:$W$9,MATCH(ROUNDUP((O$1)/10,0)*10,[1]Hugst!$R$4:$W$4,0))))</f>
        <v>0</v>
      </c>
      <c r="P248">
        <f ca="1">IF($C248-P$1&lt;År1,0,O247*(1-VLOOKUP($A248,[1]Hugst!$R$5:$W$9,MATCH(ROUNDUP((P$1)/10,0)*10,[1]Hugst!$R$4:$W$4,0))))</f>
        <v>0</v>
      </c>
      <c r="Q248">
        <f ca="1">IF($C248-Q$1&lt;År1,0,P247*(1-VLOOKUP($A248,[1]Hugst!$R$5:$W$9,MATCH(ROUNDUP((Q$1)/10,0)*10,[1]Hugst!$R$4:$W$4,0))))</f>
        <v>0</v>
      </c>
      <c r="R248">
        <f ca="1">IF($C248-R$1&lt;År1,0,Q247*(1-VLOOKUP($A248,[1]Hugst!$R$5:$W$9,MATCH(ROUNDUP((R$1)/10,0)*10,[1]Hugst!$R$4:$W$4,0))))</f>
        <v>0</v>
      </c>
      <c r="S248">
        <f ca="1">IF($C248-S$1&lt;År1,0,R247*(1-VLOOKUP($A248,[1]Hugst!$R$5:$W$9,MATCH(ROUNDUP((S$1)/10,0)*10,[1]Hugst!$R$4:$W$4,0))))</f>
        <v>0</v>
      </c>
      <c r="T248">
        <f ca="1">IF($C248-T$1&lt;År1,0,S247*(1-VLOOKUP($A248,[1]Hugst!$R$5:$W$9,MATCH(ROUNDUP((T$1)/10,0)*10,[1]Hugst!$R$4:$W$4,0))))</f>
        <v>0</v>
      </c>
      <c r="U248">
        <f ca="1">IF($C248-U$1&lt;År1,0,T247*(1-VLOOKUP($A248,[1]Hugst!$R$5:$W$9,MATCH(ROUNDUP((U$1)/10,0)*10,[1]Hugst!$R$4:$W$4,0))))</f>
        <v>0</v>
      </c>
      <c r="V248">
        <f ca="1">IF($C248-V$1&lt;År1,0,U247*(1-VLOOKUP($A248,[1]Hugst!$R$5:$W$9,MATCH(ROUNDUP((V$1)/10,0)*10,[1]Hugst!$R$4:$W$4,0))))</f>
        <v>0</v>
      </c>
      <c r="W248">
        <f ca="1">IF($C248-W$1&lt;År1,0,V247*(1-VLOOKUP($A248,[1]Hugst!$R$5:$W$9,MATCH(ROUNDUP((W$1)/10,0)*10,[1]Hugst!$R$4:$W$4,0))))</f>
        <v>0</v>
      </c>
      <c r="X248">
        <f ca="1">IF($C248-X$1&lt;År1,0,W247*(1-VLOOKUP($A248,[1]Hugst!$R$5:$W$9,MATCH(ROUNDUP((X$1)/10,0)*10,[1]Hugst!$R$4:$W$4,0))))</f>
        <v>0</v>
      </c>
      <c r="Y248">
        <f ca="1">IF($C248-Y$1&lt;År1,0,X247*(1-VLOOKUP($A248,[1]Hugst!$R$5:$W$9,MATCH(ROUNDUP((Y$1)/10,0)*10,[1]Hugst!$R$4:$W$4,0))))</f>
        <v>0</v>
      </c>
      <c r="Z248">
        <f ca="1">IF($C248-Z$1&lt;År1,0,Y247*(1-VLOOKUP($A248,[1]Hugst!$R$5:$W$9,MATCH(ROUNDUP((Z$1)/10,0)*10,[1]Hugst!$R$4:$W$4,0))))</f>
        <v>0</v>
      </c>
      <c r="AA248">
        <f ca="1">IF($C248-AA$1&lt;År1,0,Z247*(1-VLOOKUP($A248,[1]Hugst!$R$5:$W$9,MATCH(ROUNDUP((AA$1)/10,0)*10,[1]Hugst!$R$4:$W$4,0))))</f>
        <v>0</v>
      </c>
      <c r="AB248">
        <f ca="1">IF($C248-AB$1&lt;År1,0,AA247*(1-VLOOKUP($A248,[1]Hugst!$R$5:$W$9,MATCH(ROUNDUP((AB$1)/10,0)*10,[1]Hugst!$R$4:$W$4,0))))</f>
        <v>0</v>
      </c>
      <c r="AC248">
        <f ca="1">IF($C248-AC$1&lt;År1,0,AB247*(1-VLOOKUP($A248,[1]Hugst!$R$5:$W$9,MATCH(ROUNDUP((AC$1)/10,0)*10,[1]Hugst!$R$4:$W$4,0))))</f>
        <v>0</v>
      </c>
      <c r="AD248">
        <f ca="1">IF($C248-AD$1&lt;År1,0,AC247*(1-VLOOKUP($A248,[1]Hugst!$R$5:$W$9,MATCH(ROUNDUP((AD$1)/10,0)*10,[1]Hugst!$R$4:$W$4,0))))</f>
        <v>0</v>
      </c>
      <c r="AE248">
        <f ca="1">IF($C248-AE$1&lt;År1,0,AD247*(1-VLOOKUP($A248,[1]Hugst!$R$5:$W$9,MATCH(ROUNDUP((AE$1)/10,0)*10,[1]Hugst!$R$4:$W$4,0))))</f>
        <v>0</v>
      </c>
      <c r="AF248">
        <f ca="1">IF($C248-AF$1&lt;År1,0,AE247*(1-VLOOKUP($A248,[1]Hugst!$R$5:$W$9,MATCH(ROUNDUP((AF$1)/10,0)*10,[1]Hugst!$R$4:$W$4,0))))</f>
        <v>0</v>
      </c>
      <c r="AG248">
        <f ca="1">IF($C248-AG$1&lt;År1,0,AF247*(1-VLOOKUP($A248,[1]Hugst!$R$5:$W$9,MATCH(ROUNDUP((AG$1)/10,0)*10,[1]Hugst!$R$4:$W$4,0))))</f>
        <v>0</v>
      </c>
      <c r="AH248">
        <f ca="1">IF($C248-AH$1&lt;År1,0,AG247*(1-VLOOKUP($A248,[1]Hugst!$R$5:$W$9,MATCH(ROUNDUP((AH$1)/10,0)*10,[1]Hugst!$R$4:$W$4,0))))</f>
        <v>0</v>
      </c>
      <c r="AI248">
        <f ca="1">IF($C248-AI$1&lt;År1,0,AH247*(1-VLOOKUP($A248,[1]Hugst!$R$5:$W$9,MATCH(ROUNDUP((AI$1)/10,0)*10,[1]Hugst!$R$4:$W$4,0))))</f>
        <v>0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0</v>
      </c>
      <c r="E249">
        <f ca="1">IF(C249=2020,SUM(G249:AJ249),SUM(F248:AJ248)-SUM(G249:AJ249))</f>
        <v>0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>
        <f ca="1">IF($C249-G$1&lt;År1,0,F248*(1-VLOOKUP($A249,[1]Hugst!$R$5:$W$9,MATCH(ROUNDUP((G$1)/10,0)*10,[1]Hugst!$R$4:$W$4,0))))</f>
        <v>0</v>
      </c>
      <c r="H249">
        <f ca="1">IF($C249-H$1&lt;År1,0,G248*(1-VLOOKUP($A249,[1]Hugst!$R$5:$W$9,MATCH(ROUNDUP((H$1)/10,0)*10,[1]Hugst!$R$4:$W$4,0))))</f>
        <v>0</v>
      </c>
      <c r="I249">
        <f ca="1">IF($C249-I$1&lt;År1,0,H248*(1-VLOOKUP($A249,[1]Hugst!$R$5:$W$9,MATCH(ROUNDUP((I$1)/10,0)*10,[1]Hugst!$R$4:$W$4,0))))</f>
        <v>0</v>
      </c>
      <c r="J249">
        <f ca="1">IF($C249-J$1&lt;År1,0,I248*(1-VLOOKUP($A249,[1]Hugst!$R$5:$W$9,MATCH(ROUNDUP((J$1)/10,0)*10,[1]Hugst!$R$4:$W$4,0))))</f>
        <v>0</v>
      </c>
      <c r="K249">
        <f ca="1">IF($C249-K$1&lt;År1,0,J248*(1-VLOOKUP($A249,[1]Hugst!$R$5:$W$9,MATCH(ROUNDUP((K$1)/10,0)*10,[1]Hugst!$R$4:$W$4,0))))</f>
        <v>0</v>
      </c>
      <c r="L249">
        <f ca="1">IF($C249-L$1&lt;År1,0,K248*(1-VLOOKUP($A249,[1]Hugst!$R$5:$W$9,MATCH(ROUNDUP((L$1)/10,0)*10,[1]Hugst!$R$4:$W$4,0))))</f>
        <v>0</v>
      </c>
      <c r="M249">
        <f ca="1">IF($C249-M$1&lt;År1,0,L248*(1-VLOOKUP($A249,[1]Hugst!$R$5:$W$9,MATCH(ROUNDUP((M$1)/10,0)*10,[1]Hugst!$R$4:$W$4,0))))</f>
        <v>0</v>
      </c>
      <c r="N249">
        <f ca="1">IF($C249-N$1&lt;År1,0,M248*(1-VLOOKUP($A249,[1]Hugst!$R$5:$W$9,MATCH(ROUNDUP((N$1)/10,0)*10,[1]Hugst!$R$4:$W$4,0))))</f>
        <v>0</v>
      </c>
      <c r="O249">
        <f ca="1">IF($C249-O$1&lt;År1,0,N248*(1-VLOOKUP($A249,[1]Hugst!$R$5:$W$9,MATCH(ROUNDUP((O$1)/10,0)*10,[1]Hugst!$R$4:$W$4,0))))</f>
        <v>0</v>
      </c>
      <c r="P249">
        <f ca="1">IF($C249-P$1&lt;År1,0,O248*(1-VLOOKUP($A249,[1]Hugst!$R$5:$W$9,MATCH(ROUNDUP((P$1)/10,0)*10,[1]Hugst!$R$4:$W$4,0))))</f>
        <v>0</v>
      </c>
      <c r="Q249">
        <f ca="1">IF($C249-Q$1&lt;År1,0,P248*(1-VLOOKUP($A249,[1]Hugst!$R$5:$W$9,MATCH(ROUNDUP((Q$1)/10,0)*10,[1]Hugst!$R$4:$W$4,0))))</f>
        <v>0</v>
      </c>
      <c r="R249">
        <f ca="1">IF($C249-R$1&lt;År1,0,Q248*(1-VLOOKUP($A249,[1]Hugst!$R$5:$W$9,MATCH(ROUNDUP((R$1)/10,0)*10,[1]Hugst!$R$4:$W$4,0))))</f>
        <v>0</v>
      </c>
      <c r="S249">
        <f ca="1">IF($C249-S$1&lt;År1,0,R248*(1-VLOOKUP($A249,[1]Hugst!$R$5:$W$9,MATCH(ROUNDUP((S$1)/10,0)*10,[1]Hugst!$R$4:$W$4,0))))</f>
        <v>0</v>
      </c>
      <c r="T249">
        <f ca="1">IF($C249-T$1&lt;År1,0,S248*(1-VLOOKUP($A249,[1]Hugst!$R$5:$W$9,MATCH(ROUNDUP((T$1)/10,0)*10,[1]Hugst!$R$4:$W$4,0))))</f>
        <v>0</v>
      </c>
      <c r="U249">
        <f ca="1">IF($C249-U$1&lt;År1,0,T248*(1-VLOOKUP($A249,[1]Hugst!$R$5:$W$9,MATCH(ROUNDUP((U$1)/10,0)*10,[1]Hugst!$R$4:$W$4,0))))</f>
        <v>0</v>
      </c>
      <c r="V249">
        <f ca="1">IF($C249-V$1&lt;År1,0,U248*(1-VLOOKUP($A249,[1]Hugst!$R$5:$W$9,MATCH(ROUNDUP((V$1)/10,0)*10,[1]Hugst!$R$4:$W$4,0))))</f>
        <v>0</v>
      </c>
      <c r="W249">
        <f ca="1">IF($C249-W$1&lt;År1,0,V248*(1-VLOOKUP($A249,[1]Hugst!$R$5:$W$9,MATCH(ROUNDUP((W$1)/10,0)*10,[1]Hugst!$R$4:$W$4,0))))</f>
        <v>0</v>
      </c>
      <c r="X249">
        <f ca="1">IF($C249-X$1&lt;År1,0,W248*(1-VLOOKUP($A249,[1]Hugst!$R$5:$W$9,MATCH(ROUNDUP((X$1)/10,0)*10,[1]Hugst!$R$4:$W$4,0))))</f>
        <v>0</v>
      </c>
      <c r="Y249">
        <f ca="1">IF($C249-Y$1&lt;År1,0,X248*(1-VLOOKUP($A249,[1]Hugst!$R$5:$W$9,MATCH(ROUNDUP((Y$1)/10,0)*10,[1]Hugst!$R$4:$W$4,0))))</f>
        <v>0</v>
      </c>
      <c r="Z249">
        <f ca="1">IF($C249-Z$1&lt;År1,0,Y248*(1-VLOOKUP($A249,[1]Hugst!$R$5:$W$9,MATCH(ROUNDUP((Z$1)/10,0)*10,[1]Hugst!$R$4:$W$4,0))))</f>
        <v>0</v>
      </c>
      <c r="AA249">
        <f ca="1">IF($C249-AA$1&lt;År1,0,Z248*(1-VLOOKUP($A249,[1]Hugst!$R$5:$W$9,MATCH(ROUNDUP((AA$1)/10,0)*10,[1]Hugst!$R$4:$W$4,0))))</f>
        <v>0</v>
      </c>
      <c r="AB249">
        <f ca="1">IF($C249-AB$1&lt;År1,0,AA248*(1-VLOOKUP($A249,[1]Hugst!$R$5:$W$9,MATCH(ROUNDUP((AB$1)/10,0)*10,[1]Hugst!$R$4:$W$4,0))))</f>
        <v>0</v>
      </c>
      <c r="AC249">
        <f ca="1">IF($C249-AC$1&lt;År1,0,AB248*(1-VLOOKUP($A249,[1]Hugst!$R$5:$W$9,MATCH(ROUNDUP((AC$1)/10,0)*10,[1]Hugst!$R$4:$W$4,0))))</f>
        <v>0</v>
      </c>
      <c r="AD249">
        <f ca="1">IF($C249-AD$1&lt;År1,0,AC248*(1-VLOOKUP($A249,[1]Hugst!$R$5:$W$9,MATCH(ROUNDUP((AD$1)/10,0)*10,[1]Hugst!$R$4:$W$4,0))))</f>
        <v>0</v>
      </c>
      <c r="AE249">
        <f ca="1">IF($C249-AE$1&lt;År1,0,AD248*(1-VLOOKUP($A249,[1]Hugst!$R$5:$W$9,MATCH(ROUNDUP((AE$1)/10,0)*10,[1]Hugst!$R$4:$W$4,0))))</f>
        <v>0</v>
      </c>
      <c r="AF249">
        <f ca="1">IF($C249-AF$1&lt;År1,0,AE248*(1-VLOOKUP($A249,[1]Hugst!$R$5:$W$9,MATCH(ROUNDUP((AF$1)/10,0)*10,[1]Hugst!$R$4:$W$4,0))))</f>
        <v>0</v>
      </c>
      <c r="AG249">
        <f ca="1">IF($C249-AG$1&lt;År1,0,AF248*(1-VLOOKUP($A249,[1]Hugst!$R$5:$W$9,MATCH(ROUNDUP((AG$1)/10,0)*10,[1]Hugst!$R$4:$W$4,0))))</f>
        <v>0</v>
      </c>
      <c r="AH249">
        <f ca="1">IF($C249-AH$1&lt;År1,0,AG248*(1-VLOOKUP($A249,[1]Hugst!$R$5:$W$9,MATCH(ROUNDUP((AH$1)/10,0)*10,[1]Hugst!$R$4:$W$4,0))))</f>
        <v>0</v>
      </c>
      <c r="AI249">
        <f ca="1">IF($C249-AI$1&lt;År1,0,AH248*(1-VLOOKUP($A249,[1]Hugst!$R$5:$W$9,MATCH(ROUNDUP((AI$1)/10,0)*10,[1]Hugst!$R$4:$W$4,0))))</f>
        <v>0</v>
      </c>
      <c r="AJ249">
        <f ca="1">IF($C249-AJ$1&lt;År1,0,AI248*(1-VLOOKUP($A249,[1]Hugst!$R$5:$W$9,MATCH(ROUNDUP((AJ$1)/10,0)*10,[1]Hugst!$R$4:$W$4,0))))</f>
        <v>0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1305.1935648691956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7224.3854840611129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1298.6675970448182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7217.8595162367346</v>
      </c>
      <c r="G251">
        <f ca="1">IF($C251-G$1&lt;År1,0,F250*(1-VLOOKUP($A251,[1]Hugst!$R$5:$W$9,MATCH(ROUNDUP((G$1)/10,0)*10,[1]Hugst!$R$4:$W$4,0))))</f>
        <v>7224.3854840611129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1292.1742590596314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7211.3661782515483</v>
      </c>
      <c r="G252">
        <f ca="1">IF($C252-G$1&lt;År1,0,F251*(1-VLOOKUP($A252,[1]Hugst!$R$5:$W$9,MATCH(ROUNDUP((G$1)/10,0)*10,[1]Hugst!$R$4:$W$4,0))))</f>
        <v>7217.8595162367346</v>
      </c>
      <c r="H252">
        <f ca="1">IF($C252-H$1&lt;År1,0,G251*(1-VLOOKUP($A252,[1]Hugst!$R$5:$W$9,MATCH(ROUNDUP((H$1)/10,0)*10,[1]Hugst!$R$4:$W$4,0))))</f>
        <v>7224.3854840611129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1285.7133877643273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7204.9053069562442</v>
      </c>
      <c r="G253">
        <f ca="1">IF($C253-G$1&lt;År1,0,F252*(1-VLOOKUP($A253,[1]Hugst!$R$5:$W$9,MATCH(ROUNDUP((G$1)/10,0)*10,[1]Hugst!$R$4:$W$4,0))))</f>
        <v>7211.3661782515483</v>
      </c>
      <c r="H253">
        <f ca="1">IF($C253-H$1&lt;År1,0,G252*(1-VLOOKUP($A253,[1]Hugst!$R$5:$W$9,MATCH(ROUNDUP((H$1)/10,0)*10,[1]Hugst!$R$4:$W$4,0))))</f>
        <v>7217.8595162367346</v>
      </c>
      <c r="I253">
        <f ca="1">IF($C253-I$1&lt;År1,0,H252*(1-VLOOKUP($A253,[1]Hugst!$R$5:$W$9,MATCH(ROUNDUP((I$1)/10,0)*10,[1]Hugst!$R$4:$W$4,0))))</f>
        <v>7224.3854840611129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1279.2848208255018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7198.4767400174187</v>
      </c>
      <c r="G254">
        <f ca="1">IF($C254-G$1&lt;År1,0,F253*(1-VLOOKUP($A254,[1]Hugst!$R$5:$W$9,MATCH(ROUNDUP((G$1)/10,0)*10,[1]Hugst!$R$4:$W$4,0))))</f>
        <v>7204.9053069562442</v>
      </c>
      <c r="H254">
        <f ca="1">IF($C254-H$1&lt;År1,0,G253*(1-VLOOKUP($A254,[1]Hugst!$R$5:$W$9,MATCH(ROUNDUP((H$1)/10,0)*10,[1]Hugst!$R$4:$W$4,0))))</f>
        <v>7211.3661782515483</v>
      </c>
      <c r="I254">
        <f ca="1">IF($C254-I$1&lt;År1,0,H253*(1-VLOOKUP($A254,[1]Hugst!$R$5:$W$9,MATCH(ROUNDUP((I$1)/10,0)*10,[1]Hugst!$R$4:$W$4,0))))</f>
        <v>7217.8595162367346</v>
      </c>
      <c r="J254">
        <f ca="1">IF($C254-J$1&lt;År1,0,I253*(1-VLOOKUP($A254,[1]Hugst!$R$5:$W$9,MATCH(ROUNDUP((J$1)/10,0)*10,[1]Hugst!$R$4:$W$4,0))))</f>
        <v>7224.3854840611129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1272.8883967213678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7192.0803159132847</v>
      </c>
      <c r="G255">
        <f ca="1">IF($C255-G$1&lt;År1,0,F254*(1-VLOOKUP($A255,[1]Hugst!$R$5:$W$9,MATCH(ROUNDUP((G$1)/10,0)*10,[1]Hugst!$R$4:$W$4,0))))</f>
        <v>7198.4767400174187</v>
      </c>
      <c r="H255">
        <f ca="1">IF($C255-H$1&lt;År1,0,G254*(1-VLOOKUP($A255,[1]Hugst!$R$5:$W$9,MATCH(ROUNDUP((H$1)/10,0)*10,[1]Hugst!$R$4:$W$4,0))))</f>
        <v>7204.9053069562442</v>
      </c>
      <c r="I255">
        <f ca="1">IF($C255-I$1&lt;År1,0,H254*(1-VLOOKUP($A255,[1]Hugst!$R$5:$W$9,MATCH(ROUNDUP((I$1)/10,0)*10,[1]Hugst!$R$4:$W$4,0))))</f>
        <v>7211.3661782515483</v>
      </c>
      <c r="J255">
        <f ca="1">IF($C255-J$1&lt;År1,0,I254*(1-VLOOKUP($A255,[1]Hugst!$R$5:$W$9,MATCH(ROUNDUP((J$1)/10,0)*10,[1]Hugst!$R$4:$W$4,0))))</f>
        <v>7217.8595162367346</v>
      </c>
      <c r="K255">
        <f ca="1">IF($C255-K$1&lt;År1,0,J254*(1-VLOOKUP($A255,[1]Hugst!$R$5:$W$9,MATCH(ROUNDUP((K$1)/10,0)*10,[1]Hugst!$R$4:$W$4,0))))</f>
        <v>7224.3854840611129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1266.5239547377687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7185.7158739296856</v>
      </c>
      <c r="G256">
        <f ca="1">IF($C256-G$1&lt;År1,0,F255*(1-VLOOKUP($A256,[1]Hugst!$R$5:$W$9,MATCH(ROUNDUP((G$1)/10,0)*10,[1]Hugst!$R$4:$W$4,0))))</f>
        <v>7192.0803159132847</v>
      </c>
      <c r="H256">
        <f ca="1">IF($C256-H$1&lt;År1,0,G255*(1-VLOOKUP($A256,[1]Hugst!$R$5:$W$9,MATCH(ROUNDUP((H$1)/10,0)*10,[1]Hugst!$R$4:$W$4,0))))</f>
        <v>7198.4767400174187</v>
      </c>
      <c r="I256">
        <f ca="1">IF($C256-I$1&lt;År1,0,H255*(1-VLOOKUP($A256,[1]Hugst!$R$5:$W$9,MATCH(ROUNDUP((I$1)/10,0)*10,[1]Hugst!$R$4:$W$4,0))))</f>
        <v>7204.9053069562442</v>
      </c>
      <c r="J256">
        <f ca="1">IF($C256-J$1&lt;År1,0,I255*(1-VLOOKUP($A256,[1]Hugst!$R$5:$W$9,MATCH(ROUNDUP((J$1)/10,0)*10,[1]Hugst!$R$4:$W$4,0))))</f>
        <v>7211.3661782515483</v>
      </c>
      <c r="K256">
        <f ca="1">IF($C256-K$1&lt;År1,0,J255*(1-VLOOKUP($A256,[1]Hugst!$R$5:$W$9,MATCH(ROUNDUP((K$1)/10,0)*10,[1]Hugst!$R$4:$W$4,0))))</f>
        <v>7217.8595162367346</v>
      </c>
      <c r="L256">
        <f ca="1">IF($C256-L$1&lt;År1,0,K255*(1-VLOOKUP($A256,[1]Hugst!$R$5:$W$9,MATCH(ROUNDUP((L$1)/10,0)*10,[1]Hugst!$R$4:$W$4,0))))</f>
        <v>7224.3854840611129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1260.1913349640909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7179.3832541560078</v>
      </c>
      <c r="G257">
        <f ca="1">IF($C257-G$1&lt;År1,0,F256*(1-VLOOKUP($A257,[1]Hugst!$R$5:$W$9,MATCH(ROUNDUP((G$1)/10,0)*10,[1]Hugst!$R$4:$W$4,0))))</f>
        <v>7185.7158739296856</v>
      </c>
      <c r="H257">
        <f ca="1">IF($C257-H$1&lt;År1,0,G256*(1-VLOOKUP($A257,[1]Hugst!$R$5:$W$9,MATCH(ROUNDUP((H$1)/10,0)*10,[1]Hugst!$R$4:$W$4,0))))</f>
        <v>7192.0803159132847</v>
      </c>
      <c r="I257">
        <f ca="1">IF($C257-I$1&lt;År1,0,H256*(1-VLOOKUP($A257,[1]Hugst!$R$5:$W$9,MATCH(ROUNDUP((I$1)/10,0)*10,[1]Hugst!$R$4:$W$4,0))))</f>
        <v>7198.4767400174187</v>
      </c>
      <c r="J257">
        <f ca="1">IF($C257-J$1&lt;År1,0,I256*(1-VLOOKUP($A257,[1]Hugst!$R$5:$W$9,MATCH(ROUNDUP((J$1)/10,0)*10,[1]Hugst!$R$4:$W$4,0))))</f>
        <v>7204.9053069562442</v>
      </c>
      <c r="K257">
        <f ca="1">IF($C257-K$1&lt;År1,0,J256*(1-VLOOKUP($A257,[1]Hugst!$R$5:$W$9,MATCH(ROUNDUP((K$1)/10,0)*10,[1]Hugst!$R$4:$W$4,0))))</f>
        <v>7211.3661782515483</v>
      </c>
      <c r="L257">
        <f ca="1">IF($C257-L$1&lt;År1,0,K256*(1-VLOOKUP($A257,[1]Hugst!$R$5:$W$9,MATCH(ROUNDUP((L$1)/10,0)*10,[1]Hugst!$R$4:$W$4,0))))</f>
        <v>7217.8595162367346</v>
      </c>
      <c r="M257">
        <f ca="1">IF($C257-M$1&lt;År1,0,L256*(1-VLOOKUP($A257,[1]Hugst!$R$5:$W$9,MATCH(ROUNDUP((M$1)/10,0)*10,[1]Hugst!$R$4:$W$4,0))))</f>
        <v>7224.3854840611129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1253.8903782892849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7173.0822974812017</v>
      </c>
      <c r="G258">
        <f ca="1">IF($C258-G$1&lt;År1,0,F257*(1-VLOOKUP($A258,[1]Hugst!$R$5:$W$9,MATCH(ROUNDUP((G$1)/10,0)*10,[1]Hugst!$R$4:$W$4,0))))</f>
        <v>7179.3832541560078</v>
      </c>
      <c r="H258">
        <f ca="1">IF($C258-H$1&lt;År1,0,G257*(1-VLOOKUP($A258,[1]Hugst!$R$5:$W$9,MATCH(ROUNDUP((H$1)/10,0)*10,[1]Hugst!$R$4:$W$4,0))))</f>
        <v>7185.7158739296856</v>
      </c>
      <c r="I258">
        <f ca="1">IF($C258-I$1&lt;År1,0,H257*(1-VLOOKUP($A258,[1]Hugst!$R$5:$W$9,MATCH(ROUNDUP((I$1)/10,0)*10,[1]Hugst!$R$4:$W$4,0))))</f>
        <v>7192.0803159132847</v>
      </c>
      <c r="J258">
        <f ca="1">IF($C258-J$1&lt;År1,0,I257*(1-VLOOKUP($A258,[1]Hugst!$R$5:$W$9,MATCH(ROUNDUP((J$1)/10,0)*10,[1]Hugst!$R$4:$W$4,0))))</f>
        <v>7198.4767400174187</v>
      </c>
      <c r="K258">
        <f ca="1">IF($C258-K$1&lt;År1,0,J257*(1-VLOOKUP($A258,[1]Hugst!$R$5:$W$9,MATCH(ROUNDUP((K$1)/10,0)*10,[1]Hugst!$R$4:$W$4,0))))</f>
        <v>7204.9053069562442</v>
      </c>
      <c r="L258">
        <f ca="1">IF($C258-L$1&lt;År1,0,K257*(1-VLOOKUP($A258,[1]Hugst!$R$5:$W$9,MATCH(ROUNDUP((L$1)/10,0)*10,[1]Hugst!$R$4:$W$4,0))))</f>
        <v>7211.3661782515483</v>
      </c>
      <c r="M258">
        <f ca="1">IF($C258-M$1&lt;År1,0,L257*(1-VLOOKUP($A258,[1]Hugst!$R$5:$W$9,MATCH(ROUNDUP((M$1)/10,0)*10,[1]Hugst!$R$4:$W$4,0))))</f>
        <v>7217.8595162367346</v>
      </c>
      <c r="N258">
        <f ca="1">IF($C258-N$1&lt;År1,0,M257*(1-VLOOKUP($A258,[1]Hugst!$R$5:$W$9,MATCH(ROUNDUP((N$1)/10,0)*10,[1]Hugst!$R$4:$W$4,0))))</f>
        <v>7224.3854840611129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1247.6209263977835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7166.8128455897004</v>
      </c>
      <c r="G259">
        <f ca="1">IF($C259-G$1&lt;År1,0,F258*(1-VLOOKUP($A259,[1]Hugst!$R$5:$W$9,MATCH(ROUNDUP((G$1)/10,0)*10,[1]Hugst!$R$4:$W$4,0))))</f>
        <v>7173.0822974812017</v>
      </c>
      <c r="H259">
        <f ca="1">IF($C259-H$1&lt;År1,0,G258*(1-VLOOKUP($A259,[1]Hugst!$R$5:$W$9,MATCH(ROUNDUP((H$1)/10,0)*10,[1]Hugst!$R$4:$W$4,0))))</f>
        <v>7179.3832541560078</v>
      </c>
      <c r="I259">
        <f ca="1">IF($C259-I$1&lt;År1,0,H258*(1-VLOOKUP($A259,[1]Hugst!$R$5:$W$9,MATCH(ROUNDUP((I$1)/10,0)*10,[1]Hugst!$R$4:$W$4,0))))</f>
        <v>7185.7158739296856</v>
      </c>
      <c r="J259">
        <f ca="1">IF($C259-J$1&lt;År1,0,I258*(1-VLOOKUP($A259,[1]Hugst!$R$5:$W$9,MATCH(ROUNDUP((J$1)/10,0)*10,[1]Hugst!$R$4:$W$4,0))))</f>
        <v>7192.0803159132847</v>
      </c>
      <c r="K259">
        <f ca="1">IF($C259-K$1&lt;År1,0,J258*(1-VLOOKUP($A259,[1]Hugst!$R$5:$W$9,MATCH(ROUNDUP((K$1)/10,0)*10,[1]Hugst!$R$4:$W$4,0))))</f>
        <v>7198.4767400174187</v>
      </c>
      <c r="L259">
        <f ca="1">IF($C259-L$1&lt;År1,0,K258*(1-VLOOKUP($A259,[1]Hugst!$R$5:$W$9,MATCH(ROUNDUP((L$1)/10,0)*10,[1]Hugst!$R$4:$W$4,0))))</f>
        <v>7204.9053069562442</v>
      </c>
      <c r="M259">
        <f ca="1">IF($C259-M$1&lt;År1,0,L258*(1-VLOOKUP($A259,[1]Hugst!$R$5:$W$9,MATCH(ROUNDUP((M$1)/10,0)*10,[1]Hugst!$R$4:$W$4,0))))</f>
        <v>7211.3661782515483</v>
      </c>
      <c r="N259">
        <f ca="1">IF($C259-N$1&lt;År1,0,M258*(1-VLOOKUP($A259,[1]Hugst!$R$5:$W$9,MATCH(ROUNDUP((N$1)/10,0)*10,[1]Hugst!$R$4:$W$4,0))))</f>
        <v>7217.8595162367346</v>
      </c>
      <c r="O259">
        <f ca="1">IF($C259-O$1&lt;År1,0,N258*(1-VLOOKUP($A259,[1]Hugst!$R$5:$W$9,MATCH(ROUNDUP((O$1)/10,0)*10,[1]Hugst!$R$4:$W$4,0))))</f>
        <v>7224.3854840611129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1241.3828217658556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7160.5747409577725</v>
      </c>
      <c r="G260">
        <f ca="1">IF($C260-G$1&lt;År1,0,F259*(1-VLOOKUP($A260,[1]Hugst!$R$5:$W$9,MATCH(ROUNDUP((G$1)/10,0)*10,[1]Hugst!$R$4:$W$4,0))))</f>
        <v>7166.8128455897004</v>
      </c>
      <c r="H260">
        <f ca="1">IF($C260-H$1&lt;År1,0,G259*(1-VLOOKUP($A260,[1]Hugst!$R$5:$W$9,MATCH(ROUNDUP((H$1)/10,0)*10,[1]Hugst!$R$4:$W$4,0))))</f>
        <v>7173.0822974812017</v>
      </c>
      <c r="I260">
        <f ca="1">IF($C260-I$1&lt;År1,0,H259*(1-VLOOKUP($A260,[1]Hugst!$R$5:$W$9,MATCH(ROUNDUP((I$1)/10,0)*10,[1]Hugst!$R$4:$W$4,0))))</f>
        <v>7179.3832541560078</v>
      </c>
      <c r="J260">
        <f ca="1">IF($C260-J$1&lt;År1,0,I259*(1-VLOOKUP($A260,[1]Hugst!$R$5:$W$9,MATCH(ROUNDUP((J$1)/10,0)*10,[1]Hugst!$R$4:$W$4,0))))</f>
        <v>7185.7158739296856</v>
      </c>
      <c r="K260">
        <f ca="1">IF($C260-K$1&lt;År1,0,J259*(1-VLOOKUP($A260,[1]Hugst!$R$5:$W$9,MATCH(ROUNDUP((K$1)/10,0)*10,[1]Hugst!$R$4:$W$4,0))))</f>
        <v>7192.0803159132847</v>
      </c>
      <c r="L260">
        <f ca="1">IF($C260-L$1&lt;År1,0,K259*(1-VLOOKUP($A260,[1]Hugst!$R$5:$W$9,MATCH(ROUNDUP((L$1)/10,0)*10,[1]Hugst!$R$4:$W$4,0))))</f>
        <v>7198.4767400174187</v>
      </c>
      <c r="M260">
        <f ca="1">IF($C260-M$1&lt;År1,0,L259*(1-VLOOKUP($A260,[1]Hugst!$R$5:$W$9,MATCH(ROUNDUP((M$1)/10,0)*10,[1]Hugst!$R$4:$W$4,0))))</f>
        <v>7204.9053069562442</v>
      </c>
      <c r="N260">
        <f ca="1">IF($C260-N$1&lt;År1,0,M259*(1-VLOOKUP($A260,[1]Hugst!$R$5:$W$9,MATCH(ROUNDUP((N$1)/10,0)*10,[1]Hugst!$R$4:$W$4,0))))</f>
        <v>7211.3661782515483</v>
      </c>
      <c r="O260">
        <f ca="1">IF($C260-O$1&lt;År1,0,N259*(1-VLOOKUP($A260,[1]Hugst!$R$5:$W$9,MATCH(ROUNDUP((O$1)/10,0)*10,[1]Hugst!$R$4:$W$4,0))))</f>
        <v>7217.8595162367346</v>
      </c>
      <c r="P260">
        <f ca="1">IF($C260-P$1&lt;År1,0,O259*(1-VLOOKUP($A260,[1]Hugst!$R$5:$W$9,MATCH(ROUNDUP((P$1)/10,0)*10,[1]Hugst!$R$4:$W$4,0))))</f>
        <v>7224.3854840611129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1235.1759076569451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4490.7314632125017</v>
      </c>
      <c r="G261">
        <f ca="1">IF($C261-G$1&lt;År1,0,F260*(1-VLOOKUP($A261,[1]Hugst!$R$5:$W$9,MATCH(ROUNDUP((G$1)/10,0)*10,[1]Hugst!$R$4:$W$4,0))))</f>
        <v>7160.5747409577725</v>
      </c>
      <c r="H261">
        <f ca="1">IF($C261-H$1&lt;År1,0,G260*(1-VLOOKUP($A261,[1]Hugst!$R$5:$W$9,MATCH(ROUNDUP((H$1)/10,0)*10,[1]Hugst!$R$4:$W$4,0))))</f>
        <v>7166.8128455897004</v>
      </c>
      <c r="I261">
        <f ca="1">IF($C261-I$1&lt;År1,0,H260*(1-VLOOKUP($A261,[1]Hugst!$R$5:$W$9,MATCH(ROUNDUP((I$1)/10,0)*10,[1]Hugst!$R$4:$W$4,0))))</f>
        <v>7173.0822974812017</v>
      </c>
      <c r="J261">
        <f ca="1">IF($C261-J$1&lt;År1,0,I260*(1-VLOOKUP($A261,[1]Hugst!$R$5:$W$9,MATCH(ROUNDUP((J$1)/10,0)*10,[1]Hugst!$R$4:$W$4,0))))</f>
        <v>7179.3832541560078</v>
      </c>
      <c r="K261">
        <f ca="1">IF($C261-K$1&lt;År1,0,J260*(1-VLOOKUP($A261,[1]Hugst!$R$5:$W$9,MATCH(ROUNDUP((K$1)/10,0)*10,[1]Hugst!$R$4:$W$4,0))))</f>
        <v>7185.7158739296856</v>
      </c>
      <c r="L261">
        <f ca="1">IF($C261-L$1&lt;År1,0,K260*(1-VLOOKUP($A261,[1]Hugst!$R$5:$W$9,MATCH(ROUNDUP((L$1)/10,0)*10,[1]Hugst!$R$4:$W$4,0))))</f>
        <v>7192.0803159132847</v>
      </c>
      <c r="M261">
        <f ca="1">IF($C261-M$1&lt;År1,0,L260*(1-VLOOKUP($A261,[1]Hugst!$R$5:$W$9,MATCH(ROUNDUP((M$1)/10,0)*10,[1]Hugst!$R$4:$W$4,0))))</f>
        <v>7198.4767400174187</v>
      </c>
      <c r="N261">
        <f ca="1">IF($C261-N$1&lt;År1,0,M260*(1-VLOOKUP($A261,[1]Hugst!$R$5:$W$9,MATCH(ROUNDUP((N$1)/10,0)*10,[1]Hugst!$R$4:$W$4,0))))</f>
        <v>7204.9053069562442</v>
      </c>
      <c r="O261">
        <f ca="1">IF($C261-O$1&lt;År1,0,N260*(1-VLOOKUP($A261,[1]Hugst!$R$5:$W$9,MATCH(ROUNDUP((O$1)/10,0)*10,[1]Hugst!$R$4:$W$4,0))))</f>
        <v>7211.3661782515483</v>
      </c>
      <c r="P261">
        <f ca="1">IF($C261-P$1&lt;År1,0,O260*(1-VLOOKUP($A261,[1]Hugst!$R$5:$W$9,MATCH(ROUNDUP((P$1)/10,0)*10,[1]Hugst!$R$4:$W$4,0))))</f>
        <v>7217.8595162367346</v>
      </c>
      <c r="Q261">
        <f ca="1">IF($C261-Q$1&lt;År1,0,P260*(1-VLOOKUP($A261,[1]Hugst!$R$5:$W$9,MATCH(ROUNDUP((Q$1)/10,0)*10,[1]Hugst!$R$4:$W$4,0))))</f>
        <v>7224.3854840611129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1229.000028118724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4484.5555836742806</v>
      </c>
      <c r="G262">
        <f ca="1">IF($C262-G$1&lt;År1,0,F261*(1-VLOOKUP($A262,[1]Hugst!$R$5:$W$9,MATCH(ROUNDUP((G$1)/10,0)*10,[1]Hugst!$R$4:$W$4,0))))</f>
        <v>4490.7314632125017</v>
      </c>
      <c r="H262">
        <f ca="1">IF($C262-H$1&lt;År1,0,G261*(1-VLOOKUP($A262,[1]Hugst!$R$5:$W$9,MATCH(ROUNDUP((H$1)/10,0)*10,[1]Hugst!$R$4:$W$4,0))))</f>
        <v>7160.5747409577725</v>
      </c>
      <c r="I262">
        <f ca="1">IF($C262-I$1&lt;År1,0,H261*(1-VLOOKUP($A262,[1]Hugst!$R$5:$W$9,MATCH(ROUNDUP((I$1)/10,0)*10,[1]Hugst!$R$4:$W$4,0))))</f>
        <v>7166.8128455897004</v>
      </c>
      <c r="J262">
        <f ca="1">IF($C262-J$1&lt;År1,0,I261*(1-VLOOKUP($A262,[1]Hugst!$R$5:$W$9,MATCH(ROUNDUP((J$1)/10,0)*10,[1]Hugst!$R$4:$W$4,0))))</f>
        <v>7173.0822974812017</v>
      </c>
      <c r="K262">
        <f ca="1">IF($C262-K$1&lt;År1,0,J261*(1-VLOOKUP($A262,[1]Hugst!$R$5:$W$9,MATCH(ROUNDUP((K$1)/10,0)*10,[1]Hugst!$R$4:$W$4,0))))</f>
        <v>7179.3832541560078</v>
      </c>
      <c r="L262">
        <f ca="1">IF($C262-L$1&lt;År1,0,K261*(1-VLOOKUP($A262,[1]Hugst!$R$5:$W$9,MATCH(ROUNDUP((L$1)/10,0)*10,[1]Hugst!$R$4:$W$4,0))))</f>
        <v>7185.7158739296856</v>
      </c>
      <c r="M262">
        <f ca="1">IF($C262-M$1&lt;År1,0,L261*(1-VLOOKUP($A262,[1]Hugst!$R$5:$W$9,MATCH(ROUNDUP((M$1)/10,0)*10,[1]Hugst!$R$4:$W$4,0))))</f>
        <v>7192.0803159132847</v>
      </c>
      <c r="N262">
        <f ca="1">IF($C262-N$1&lt;År1,0,M261*(1-VLOOKUP($A262,[1]Hugst!$R$5:$W$9,MATCH(ROUNDUP((N$1)/10,0)*10,[1]Hugst!$R$4:$W$4,0))))</f>
        <v>7198.4767400174187</v>
      </c>
      <c r="O262">
        <f ca="1">IF($C262-O$1&lt;År1,0,N261*(1-VLOOKUP($A262,[1]Hugst!$R$5:$W$9,MATCH(ROUNDUP((O$1)/10,0)*10,[1]Hugst!$R$4:$W$4,0))))</f>
        <v>7204.9053069562442</v>
      </c>
      <c r="P262">
        <f ca="1">IF($C262-P$1&lt;År1,0,O261*(1-VLOOKUP($A262,[1]Hugst!$R$5:$W$9,MATCH(ROUNDUP((P$1)/10,0)*10,[1]Hugst!$R$4:$W$4,0))))</f>
        <v>7211.3661782515483</v>
      </c>
      <c r="Q262">
        <f ca="1">IF($C262-Q$1&lt;År1,0,P261*(1-VLOOKUP($A262,[1]Hugst!$R$5:$W$9,MATCH(ROUNDUP((Q$1)/10,0)*10,[1]Hugst!$R$4:$W$4,0))))</f>
        <v>7217.8595162367346</v>
      </c>
      <c r="R262">
        <f ca="1">IF($C262-R$1&lt;År1,0,Q261*(1-VLOOKUP($A262,[1]Hugst!$R$5:$W$9,MATCH(ROUNDUP((R$1)/10,0)*10,[1]Hugst!$R$4:$W$4,0))))</f>
        <v>7224.3854840611129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1222.8550279781011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4478.4105835336577</v>
      </c>
      <c r="G263">
        <f ca="1">IF($C263-G$1&lt;År1,0,F262*(1-VLOOKUP($A263,[1]Hugst!$R$5:$W$9,MATCH(ROUNDUP((G$1)/10,0)*10,[1]Hugst!$R$4:$W$4,0))))</f>
        <v>4484.5555836742806</v>
      </c>
      <c r="H263">
        <f ca="1">IF($C263-H$1&lt;År1,0,G262*(1-VLOOKUP($A263,[1]Hugst!$R$5:$W$9,MATCH(ROUNDUP((H$1)/10,0)*10,[1]Hugst!$R$4:$W$4,0))))</f>
        <v>4490.7314632125017</v>
      </c>
      <c r="I263">
        <f ca="1">IF($C263-I$1&lt;År1,0,H262*(1-VLOOKUP($A263,[1]Hugst!$R$5:$W$9,MATCH(ROUNDUP((I$1)/10,0)*10,[1]Hugst!$R$4:$W$4,0))))</f>
        <v>7160.5747409577725</v>
      </c>
      <c r="J263">
        <f ca="1">IF($C263-J$1&lt;År1,0,I262*(1-VLOOKUP($A263,[1]Hugst!$R$5:$W$9,MATCH(ROUNDUP((J$1)/10,0)*10,[1]Hugst!$R$4:$W$4,0))))</f>
        <v>7166.8128455897004</v>
      </c>
      <c r="K263">
        <f ca="1">IF($C263-K$1&lt;År1,0,J262*(1-VLOOKUP($A263,[1]Hugst!$R$5:$W$9,MATCH(ROUNDUP((K$1)/10,0)*10,[1]Hugst!$R$4:$W$4,0))))</f>
        <v>7173.0822974812017</v>
      </c>
      <c r="L263">
        <f ca="1">IF($C263-L$1&lt;År1,0,K262*(1-VLOOKUP($A263,[1]Hugst!$R$5:$W$9,MATCH(ROUNDUP((L$1)/10,0)*10,[1]Hugst!$R$4:$W$4,0))))</f>
        <v>7179.3832541560078</v>
      </c>
      <c r="M263">
        <f ca="1">IF($C263-M$1&lt;År1,0,L262*(1-VLOOKUP($A263,[1]Hugst!$R$5:$W$9,MATCH(ROUNDUP((M$1)/10,0)*10,[1]Hugst!$R$4:$W$4,0))))</f>
        <v>7185.7158739296856</v>
      </c>
      <c r="N263">
        <f ca="1">IF($C263-N$1&lt;År1,0,M262*(1-VLOOKUP($A263,[1]Hugst!$R$5:$W$9,MATCH(ROUNDUP((N$1)/10,0)*10,[1]Hugst!$R$4:$W$4,0))))</f>
        <v>7192.0803159132847</v>
      </c>
      <c r="O263">
        <f ca="1">IF($C263-O$1&lt;År1,0,N262*(1-VLOOKUP($A263,[1]Hugst!$R$5:$W$9,MATCH(ROUNDUP((O$1)/10,0)*10,[1]Hugst!$R$4:$W$4,0))))</f>
        <v>7198.4767400174187</v>
      </c>
      <c r="P263">
        <f ca="1">IF($C263-P$1&lt;År1,0,O262*(1-VLOOKUP($A263,[1]Hugst!$R$5:$W$9,MATCH(ROUNDUP((P$1)/10,0)*10,[1]Hugst!$R$4:$W$4,0))))</f>
        <v>7204.9053069562442</v>
      </c>
      <c r="Q263">
        <f ca="1">IF($C263-Q$1&lt;År1,0,P262*(1-VLOOKUP($A263,[1]Hugst!$R$5:$W$9,MATCH(ROUNDUP((Q$1)/10,0)*10,[1]Hugst!$R$4:$W$4,0))))</f>
        <v>7211.3661782515483</v>
      </c>
      <c r="R263">
        <f ca="1">IF($C263-R$1&lt;År1,0,Q262*(1-VLOOKUP($A263,[1]Hugst!$R$5:$W$9,MATCH(ROUNDUP((R$1)/10,0)*10,[1]Hugst!$R$4:$W$4,0))))</f>
        <v>7217.8595162367346</v>
      </c>
      <c r="S263">
        <f ca="1">IF($C263-S$1&lt;År1,0,R262*(1-VLOOKUP($A263,[1]Hugst!$R$5:$W$9,MATCH(ROUNDUP((S$1)/10,0)*10,[1]Hugst!$R$4:$W$4,0))))</f>
        <v>7224.3854840611129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1216.7407528382137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4472.2963083937702</v>
      </c>
      <c r="G264">
        <f ca="1">IF($C264-G$1&lt;År1,0,F263*(1-VLOOKUP($A264,[1]Hugst!$R$5:$W$9,MATCH(ROUNDUP((G$1)/10,0)*10,[1]Hugst!$R$4:$W$4,0))))</f>
        <v>4478.4105835336577</v>
      </c>
      <c r="H264">
        <f ca="1">IF($C264-H$1&lt;År1,0,G263*(1-VLOOKUP($A264,[1]Hugst!$R$5:$W$9,MATCH(ROUNDUP((H$1)/10,0)*10,[1]Hugst!$R$4:$W$4,0))))</f>
        <v>4484.5555836742806</v>
      </c>
      <c r="I264">
        <f ca="1">IF($C264-I$1&lt;År1,0,H263*(1-VLOOKUP($A264,[1]Hugst!$R$5:$W$9,MATCH(ROUNDUP((I$1)/10,0)*10,[1]Hugst!$R$4:$W$4,0))))</f>
        <v>4490.7314632125017</v>
      </c>
      <c r="J264">
        <f ca="1">IF($C264-J$1&lt;År1,0,I263*(1-VLOOKUP($A264,[1]Hugst!$R$5:$W$9,MATCH(ROUNDUP((J$1)/10,0)*10,[1]Hugst!$R$4:$W$4,0))))</f>
        <v>7160.5747409577725</v>
      </c>
      <c r="K264">
        <f ca="1">IF($C264-K$1&lt;År1,0,J263*(1-VLOOKUP($A264,[1]Hugst!$R$5:$W$9,MATCH(ROUNDUP((K$1)/10,0)*10,[1]Hugst!$R$4:$W$4,0))))</f>
        <v>7166.8128455897004</v>
      </c>
      <c r="L264">
        <f ca="1">IF($C264-L$1&lt;År1,0,K263*(1-VLOOKUP($A264,[1]Hugst!$R$5:$W$9,MATCH(ROUNDUP((L$1)/10,0)*10,[1]Hugst!$R$4:$W$4,0))))</f>
        <v>7173.0822974812017</v>
      </c>
      <c r="M264">
        <f ca="1">IF($C264-M$1&lt;År1,0,L263*(1-VLOOKUP($A264,[1]Hugst!$R$5:$W$9,MATCH(ROUNDUP((M$1)/10,0)*10,[1]Hugst!$R$4:$W$4,0))))</f>
        <v>7179.3832541560078</v>
      </c>
      <c r="N264">
        <f ca="1">IF($C264-N$1&lt;År1,0,M263*(1-VLOOKUP($A264,[1]Hugst!$R$5:$W$9,MATCH(ROUNDUP((N$1)/10,0)*10,[1]Hugst!$R$4:$W$4,0))))</f>
        <v>7185.7158739296856</v>
      </c>
      <c r="O264">
        <f ca="1">IF($C264-O$1&lt;År1,0,N263*(1-VLOOKUP($A264,[1]Hugst!$R$5:$W$9,MATCH(ROUNDUP((O$1)/10,0)*10,[1]Hugst!$R$4:$W$4,0))))</f>
        <v>7192.0803159132847</v>
      </c>
      <c r="P264">
        <f ca="1">IF($C264-P$1&lt;År1,0,O263*(1-VLOOKUP($A264,[1]Hugst!$R$5:$W$9,MATCH(ROUNDUP((P$1)/10,0)*10,[1]Hugst!$R$4:$W$4,0))))</f>
        <v>7198.4767400174187</v>
      </c>
      <c r="Q264">
        <f ca="1">IF($C264-Q$1&lt;År1,0,P263*(1-VLOOKUP($A264,[1]Hugst!$R$5:$W$9,MATCH(ROUNDUP((Q$1)/10,0)*10,[1]Hugst!$R$4:$W$4,0))))</f>
        <v>7204.9053069562442</v>
      </c>
      <c r="R264">
        <f ca="1">IF($C264-R$1&lt;År1,0,Q263*(1-VLOOKUP($A264,[1]Hugst!$R$5:$W$9,MATCH(ROUNDUP((R$1)/10,0)*10,[1]Hugst!$R$4:$W$4,0))))</f>
        <v>7211.3661782515483</v>
      </c>
      <c r="S264">
        <f ca="1">IF($C264-S$1&lt;År1,0,R263*(1-VLOOKUP($A264,[1]Hugst!$R$5:$W$9,MATCH(ROUNDUP((S$1)/10,0)*10,[1]Hugst!$R$4:$W$4,0))))</f>
        <v>7217.8595162367346</v>
      </c>
      <c r="T264">
        <f ca="1">IF($C264-T$1&lt;År1,0,S263*(1-VLOOKUP($A264,[1]Hugst!$R$5:$W$9,MATCH(ROUNDUP((T$1)/10,0)*10,[1]Hugst!$R$4:$W$4,0))))</f>
        <v>7224.3854840611129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1210.6570490740451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4466.2126046296016</v>
      </c>
      <c r="G265">
        <f ca="1">IF($C265-G$1&lt;År1,0,F264*(1-VLOOKUP($A265,[1]Hugst!$R$5:$W$9,MATCH(ROUNDUP((G$1)/10,0)*10,[1]Hugst!$R$4:$W$4,0))))</f>
        <v>4472.2963083937702</v>
      </c>
      <c r="H265">
        <f ca="1">IF($C265-H$1&lt;År1,0,G264*(1-VLOOKUP($A265,[1]Hugst!$R$5:$W$9,MATCH(ROUNDUP((H$1)/10,0)*10,[1]Hugst!$R$4:$W$4,0))))</f>
        <v>4478.4105835336577</v>
      </c>
      <c r="I265">
        <f ca="1">IF($C265-I$1&lt;År1,0,H264*(1-VLOOKUP($A265,[1]Hugst!$R$5:$W$9,MATCH(ROUNDUP((I$1)/10,0)*10,[1]Hugst!$R$4:$W$4,0))))</f>
        <v>4484.5555836742806</v>
      </c>
      <c r="J265">
        <f ca="1">IF($C265-J$1&lt;År1,0,I264*(1-VLOOKUP($A265,[1]Hugst!$R$5:$W$9,MATCH(ROUNDUP((J$1)/10,0)*10,[1]Hugst!$R$4:$W$4,0))))</f>
        <v>4490.7314632125017</v>
      </c>
      <c r="K265">
        <f ca="1">IF($C265-K$1&lt;År1,0,J264*(1-VLOOKUP($A265,[1]Hugst!$R$5:$W$9,MATCH(ROUNDUP((K$1)/10,0)*10,[1]Hugst!$R$4:$W$4,0))))</f>
        <v>7160.5747409577725</v>
      </c>
      <c r="L265">
        <f ca="1">IF($C265-L$1&lt;År1,0,K264*(1-VLOOKUP($A265,[1]Hugst!$R$5:$W$9,MATCH(ROUNDUP((L$1)/10,0)*10,[1]Hugst!$R$4:$W$4,0))))</f>
        <v>7166.8128455897004</v>
      </c>
      <c r="M265">
        <f ca="1">IF($C265-M$1&lt;År1,0,L264*(1-VLOOKUP($A265,[1]Hugst!$R$5:$W$9,MATCH(ROUNDUP((M$1)/10,0)*10,[1]Hugst!$R$4:$W$4,0))))</f>
        <v>7173.0822974812017</v>
      </c>
      <c r="N265">
        <f ca="1">IF($C265-N$1&lt;År1,0,M264*(1-VLOOKUP($A265,[1]Hugst!$R$5:$W$9,MATCH(ROUNDUP((N$1)/10,0)*10,[1]Hugst!$R$4:$W$4,0))))</f>
        <v>7179.3832541560078</v>
      </c>
      <c r="O265">
        <f ca="1">IF($C265-O$1&lt;År1,0,N264*(1-VLOOKUP($A265,[1]Hugst!$R$5:$W$9,MATCH(ROUNDUP((O$1)/10,0)*10,[1]Hugst!$R$4:$W$4,0))))</f>
        <v>7185.7158739296856</v>
      </c>
      <c r="P265">
        <f ca="1">IF($C265-P$1&lt;År1,0,O264*(1-VLOOKUP($A265,[1]Hugst!$R$5:$W$9,MATCH(ROUNDUP((P$1)/10,0)*10,[1]Hugst!$R$4:$W$4,0))))</f>
        <v>7192.0803159132847</v>
      </c>
      <c r="Q265">
        <f ca="1">IF($C265-Q$1&lt;År1,0,P264*(1-VLOOKUP($A265,[1]Hugst!$R$5:$W$9,MATCH(ROUNDUP((Q$1)/10,0)*10,[1]Hugst!$R$4:$W$4,0))))</f>
        <v>7198.4767400174187</v>
      </c>
      <c r="R265">
        <f ca="1">IF($C265-R$1&lt;År1,0,Q264*(1-VLOOKUP($A265,[1]Hugst!$R$5:$W$9,MATCH(ROUNDUP((R$1)/10,0)*10,[1]Hugst!$R$4:$W$4,0))))</f>
        <v>7204.9053069562442</v>
      </c>
      <c r="S265">
        <f ca="1">IF($C265-S$1&lt;År1,0,R264*(1-VLOOKUP($A265,[1]Hugst!$R$5:$W$9,MATCH(ROUNDUP((S$1)/10,0)*10,[1]Hugst!$R$4:$W$4,0))))</f>
        <v>7211.3661782515483</v>
      </c>
      <c r="T265">
        <f ca="1">IF($C265-T$1&lt;År1,0,S264*(1-VLOOKUP($A265,[1]Hugst!$R$5:$W$9,MATCH(ROUNDUP((T$1)/10,0)*10,[1]Hugst!$R$4:$W$4,0))))</f>
        <v>7217.8595162367346</v>
      </c>
      <c r="U265">
        <f ca="1">IF($C265-U$1&lt;År1,0,T264*(1-VLOOKUP($A265,[1]Hugst!$R$5:$W$9,MATCH(ROUNDUP((U$1)/10,0)*10,[1]Hugst!$R$4:$W$4,0))))</f>
        <v>7224.3854840611129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1204.6037638286725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4460.1593193842291</v>
      </c>
      <c r="G266">
        <f ca="1">IF($C266-G$1&lt;År1,0,F265*(1-VLOOKUP($A266,[1]Hugst!$R$5:$W$9,MATCH(ROUNDUP((G$1)/10,0)*10,[1]Hugst!$R$4:$W$4,0))))</f>
        <v>4466.2126046296016</v>
      </c>
      <c r="H266">
        <f ca="1">IF($C266-H$1&lt;År1,0,G265*(1-VLOOKUP($A266,[1]Hugst!$R$5:$W$9,MATCH(ROUNDUP((H$1)/10,0)*10,[1]Hugst!$R$4:$W$4,0))))</f>
        <v>4472.2963083937702</v>
      </c>
      <c r="I266">
        <f ca="1">IF($C266-I$1&lt;År1,0,H265*(1-VLOOKUP($A266,[1]Hugst!$R$5:$W$9,MATCH(ROUNDUP((I$1)/10,0)*10,[1]Hugst!$R$4:$W$4,0))))</f>
        <v>4478.4105835336577</v>
      </c>
      <c r="J266">
        <f ca="1">IF($C266-J$1&lt;År1,0,I265*(1-VLOOKUP($A266,[1]Hugst!$R$5:$W$9,MATCH(ROUNDUP((J$1)/10,0)*10,[1]Hugst!$R$4:$W$4,0))))</f>
        <v>4484.5555836742806</v>
      </c>
      <c r="K266">
        <f ca="1">IF($C266-K$1&lt;År1,0,J265*(1-VLOOKUP($A266,[1]Hugst!$R$5:$W$9,MATCH(ROUNDUP((K$1)/10,0)*10,[1]Hugst!$R$4:$W$4,0))))</f>
        <v>4490.7314632125017</v>
      </c>
      <c r="L266">
        <f ca="1">IF($C266-L$1&lt;År1,0,K265*(1-VLOOKUP($A266,[1]Hugst!$R$5:$W$9,MATCH(ROUNDUP((L$1)/10,0)*10,[1]Hugst!$R$4:$W$4,0))))</f>
        <v>7160.5747409577725</v>
      </c>
      <c r="M266">
        <f ca="1">IF($C266-M$1&lt;År1,0,L265*(1-VLOOKUP($A266,[1]Hugst!$R$5:$W$9,MATCH(ROUNDUP((M$1)/10,0)*10,[1]Hugst!$R$4:$W$4,0))))</f>
        <v>7166.8128455897004</v>
      </c>
      <c r="N266">
        <f ca="1">IF($C266-N$1&lt;År1,0,M265*(1-VLOOKUP($A266,[1]Hugst!$R$5:$W$9,MATCH(ROUNDUP((N$1)/10,0)*10,[1]Hugst!$R$4:$W$4,0))))</f>
        <v>7173.0822974812017</v>
      </c>
      <c r="O266">
        <f ca="1">IF($C266-O$1&lt;År1,0,N265*(1-VLOOKUP($A266,[1]Hugst!$R$5:$W$9,MATCH(ROUNDUP((O$1)/10,0)*10,[1]Hugst!$R$4:$W$4,0))))</f>
        <v>7179.3832541560078</v>
      </c>
      <c r="P266">
        <f ca="1">IF($C266-P$1&lt;År1,0,O265*(1-VLOOKUP($A266,[1]Hugst!$R$5:$W$9,MATCH(ROUNDUP((P$1)/10,0)*10,[1]Hugst!$R$4:$W$4,0))))</f>
        <v>7185.7158739296856</v>
      </c>
      <c r="Q266">
        <f ca="1">IF($C266-Q$1&lt;År1,0,P265*(1-VLOOKUP($A266,[1]Hugst!$R$5:$W$9,MATCH(ROUNDUP((Q$1)/10,0)*10,[1]Hugst!$R$4:$W$4,0))))</f>
        <v>7192.0803159132847</v>
      </c>
      <c r="R266">
        <f ca="1">IF($C266-R$1&lt;År1,0,Q265*(1-VLOOKUP($A266,[1]Hugst!$R$5:$W$9,MATCH(ROUNDUP((R$1)/10,0)*10,[1]Hugst!$R$4:$W$4,0))))</f>
        <v>7198.4767400174187</v>
      </c>
      <c r="S266">
        <f ca="1">IF($C266-S$1&lt;År1,0,R265*(1-VLOOKUP($A266,[1]Hugst!$R$5:$W$9,MATCH(ROUNDUP((S$1)/10,0)*10,[1]Hugst!$R$4:$W$4,0))))</f>
        <v>7204.9053069562442</v>
      </c>
      <c r="T266">
        <f ca="1">IF($C266-T$1&lt;År1,0,S265*(1-VLOOKUP($A266,[1]Hugst!$R$5:$W$9,MATCH(ROUNDUP((T$1)/10,0)*10,[1]Hugst!$R$4:$W$4,0))))</f>
        <v>7211.3661782515483</v>
      </c>
      <c r="U266">
        <f ca="1">IF($C266-U$1&lt;År1,0,T265*(1-VLOOKUP($A266,[1]Hugst!$R$5:$W$9,MATCH(ROUNDUP((U$1)/10,0)*10,[1]Hugst!$R$4:$W$4,0))))</f>
        <v>7217.8595162367346</v>
      </c>
      <c r="V266">
        <f ca="1">IF($C266-V$1&lt;År1,0,U265*(1-VLOOKUP($A266,[1]Hugst!$R$5:$W$9,MATCH(ROUNDUP((V$1)/10,0)*10,[1]Hugst!$R$4:$W$4,0))))</f>
        <v>7224.3854840611129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1198.5807450095199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4454.1363005650765</v>
      </c>
      <c r="G267">
        <f ca="1">IF($C267-G$1&lt;År1,0,F266*(1-VLOOKUP($A267,[1]Hugst!$R$5:$W$9,MATCH(ROUNDUP((G$1)/10,0)*10,[1]Hugst!$R$4:$W$4,0))))</f>
        <v>4460.1593193842291</v>
      </c>
      <c r="H267">
        <f ca="1">IF($C267-H$1&lt;År1,0,G266*(1-VLOOKUP($A267,[1]Hugst!$R$5:$W$9,MATCH(ROUNDUP((H$1)/10,0)*10,[1]Hugst!$R$4:$W$4,0))))</f>
        <v>4466.2126046296016</v>
      </c>
      <c r="I267">
        <f ca="1">IF($C267-I$1&lt;År1,0,H266*(1-VLOOKUP($A267,[1]Hugst!$R$5:$W$9,MATCH(ROUNDUP((I$1)/10,0)*10,[1]Hugst!$R$4:$W$4,0))))</f>
        <v>4472.2963083937702</v>
      </c>
      <c r="J267">
        <f ca="1">IF($C267-J$1&lt;År1,0,I266*(1-VLOOKUP($A267,[1]Hugst!$R$5:$W$9,MATCH(ROUNDUP((J$1)/10,0)*10,[1]Hugst!$R$4:$W$4,0))))</f>
        <v>4478.4105835336577</v>
      </c>
      <c r="K267">
        <f ca="1">IF($C267-K$1&lt;År1,0,J266*(1-VLOOKUP($A267,[1]Hugst!$R$5:$W$9,MATCH(ROUNDUP((K$1)/10,0)*10,[1]Hugst!$R$4:$W$4,0))))</f>
        <v>4484.5555836742806</v>
      </c>
      <c r="L267">
        <f ca="1">IF($C267-L$1&lt;År1,0,K266*(1-VLOOKUP($A267,[1]Hugst!$R$5:$W$9,MATCH(ROUNDUP((L$1)/10,0)*10,[1]Hugst!$R$4:$W$4,0))))</f>
        <v>4490.7314632125017</v>
      </c>
      <c r="M267">
        <f ca="1">IF($C267-M$1&lt;År1,0,L266*(1-VLOOKUP($A267,[1]Hugst!$R$5:$W$9,MATCH(ROUNDUP((M$1)/10,0)*10,[1]Hugst!$R$4:$W$4,0))))</f>
        <v>7160.5747409577725</v>
      </c>
      <c r="N267">
        <f ca="1">IF($C267-N$1&lt;År1,0,M266*(1-VLOOKUP($A267,[1]Hugst!$R$5:$W$9,MATCH(ROUNDUP((N$1)/10,0)*10,[1]Hugst!$R$4:$W$4,0))))</f>
        <v>7166.8128455897004</v>
      </c>
      <c r="O267">
        <f ca="1">IF($C267-O$1&lt;År1,0,N266*(1-VLOOKUP($A267,[1]Hugst!$R$5:$W$9,MATCH(ROUNDUP((O$1)/10,0)*10,[1]Hugst!$R$4:$W$4,0))))</f>
        <v>7173.0822974812017</v>
      </c>
      <c r="P267">
        <f ca="1">IF($C267-P$1&lt;År1,0,O266*(1-VLOOKUP($A267,[1]Hugst!$R$5:$W$9,MATCH(ROUNDUP((P$1)/10,0)*10,[1]Hugst!$R$4:$W$4,0))))</f>
        <v>7179.3832541560078</v>
      </c>
      <c r="Q267">
        <f ca="1">IF($C267-Q$1&lt;År1,0,P266*(1-VLOOKUP($A267,[1]Hugst!$R$5:$W$9,MATCH(ROUNDUP((Q$1)/10,0)*10,[1]Hugst!$R$4:$W$4,0))))</f>
        <v>7185.7158739296856</v>
      </c>
      <c r="R267">
        <f ca="1">IF($C267-R$1&lt;År1,0,Q266*(1-VLOOKUP($A267,[1]Hugst!$R$5:$W$9,MATCH(ROUNDUP((R$1)/10,0)*10,[1]Hugst!$R$4:$W$4,0))))</f>
        <v>7192.0803159132847</v>
      </c>
      <c r="S267">
        <f ca="1">IF($C267-S$1&lt;År1,0,R266*(1-VLOOKUP($A267,[1]Hugst!$R$5:$W$9,MATCH(ROUNDUP((S$1)/10,0)*10,[1]Hugst!$R$4:$W$4,0))))</f>
        <v>7198.4767400174187</v>
      </c>
      <c r="T267">
        <f ca="1">IF($C267-T$1&lt;År1,0,S266*(1-VLOOKUP($A267,[1]Hugst!$R$5:$W$9,MATCH(ROUNDUP((T$1)/10,0)*10,[1]Hugst!$R$4:$W$4,0))))</f>
        <v>7204.9053069562442</v>
      </c>
      <c r="U267">
        <f ca="1">IF($C267-U$1&lt;År1,0,T266*(1-VLOOKUP($A267,[1]Hugst!$R$5:$W$9,MATCH(ROUNDUP((U$1)/10,0)*10,[1]Hugst!$R$4:$W$4,0))))</f>
        <v>7211.3661782515483</v>
      </c>
      <c r="V267">
        <f ca="1">IF($C267-V$1&lt;År1,0,U266*(1-VLOOKUP($A267,[1]Hugst!$R$5:$W$9,MATCH(ROUNDUP((V$1)/10,0)*10,[1]Hugst!$R$4:$W$4,0))))</f>
        <v>7217.8595162367346</v>
      </c>
      <c r="W267">
        <f ca="1">IF($C267-W$1&lt;År1,0,V266*(1-VLOOKUP($A267,[1]Hugst!$R$5:$W$9,MATCH(ROUNDUP((W$1)/10,0)*10,[1]Hugst!$R$4:$W$4,0))))</f>
        <v>7224.3854840611129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1192.5878412845086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4448.1433968400652</v>
      </c>
      <c r="G268">
        <f ca="1">IF($C268-G$1&lt;År1,0,F267*(1-VLOOKUP($A268,[1]Hugst!$R$5:$W$9,MATCH(ROUNDUP((G$1)/10,0)*10,[1]Hugst!$R$4:$W$4,0))))</f>
        <v>4454.1363005650765</v>
      </c>
      <c r="H268">
        <f ca="1">IF($C268-H$1&lt;År1,0,G267*(1-VLOOKUP($A268,[1]Hugst!$R$5:$W$9,MATCH(ROUNDUP((H$1)/10,0)*10,[1]Hugst!$R$4:$W$4,0))))</f>
        <v>4460.1593193842291</v>
      </c>
      <c r="I268">
        <f ca="1">IF($C268-I$1&lt;År1,0,H267*(1-VLOOKUP($A268,[1]Hugst!$R$5:$W$9,MATCH(ROUNDUP((I$1)/10,0)*10,[1]Hugst!$R$4:$W$4,0))))</f>
        <v>4466.2126046296016</v>
      </c>
      <c r="J268">
        <f ca="1">IF($C268-J$1&lt;År1,0,I267*(1-VLOOKUP($A268,[1]Hugst!$R$5:$W$9,MATCH(ROUNDUP((J$1)/10,0)*10,[1]Hugst!$R$4:$W$4,0))))</f>
        <v>4472.2963083937702</v>
      </c>
      <c r="K268">
        <f ca="1">IF($C268-K$1&lt;År1,0,J267*(1-VLOOKUP($A268,[1]Hugst!$R$5:$W$9,MATCH(ROUNDUP((K$1)/10,0)*10,[1]Hugst!$R$4:$W$4,0))))</f>
        <v>4478.4105835336577</v>
      </c>
      <c r="L268">
        <f ca="1">IF($C268-L$1&lt;År1,0,K267*(1-VLOOKUP($A268,[1]Hugst!$R$5:$W$9,MATCH(ROUNDUP((L$1)/10,0)*10,[1]Hugst!$R$4:$W$4,0))))</f>
        <v>4484.5555836742806</v>
      </c>
      <c r="M268">
        <f ca="1">IF($C268-M$1&lt;År1,0,L267*(1-VLOOKUP($A268,[1]Hugst!$R$5:$W$9,MATCH(ROUNDUP((M$1)/10,0)*10,[1]Hugst!$R$4:$W$4,0))))</f>
        <v>4490.7314632125017</v>
      </c>
      <c r="N268">
        <f ca="1">IF($C268-N$1&lt;År1,0,M267*(1-VLOOKUP($A268,[1]Hugst!$R$5:$W$9,MATCH(ROUNDUP((N$1)/10,0)*10,[1]Hugst!$R$4:$W$4,0))))</f>
        <v>7160.5747409577725</v>
      </c>
      <c r="O268">
        <f ca="1">IF($C268-O$1&lt;År1,0,N267*(1-VLOOKUP($A268,[1]Hugst!$R$5:$W$9,MATCH(ROUNDUP((O$1)/10,0)*10,[1]Hugst!$R$4:$W$4,0))))</f>
        <v>7166.8128455897004</v>
      </c>
      <c r="P268">
        <f ca="1">IF($C268-P$1&lt;År1,0,O267*(1-VLOOKUP($A268,[1]Hugst!$R$5:$W$9,MATCH(ROUNDUP((P$1)/10,0)*10,[1]Hugst!$R$4:$W$4,0))))</f>
        <v>7173.0822974812017</v>
      </c>
      <c r="Q268">
        <f ca="1">IF($C268-Q$1&lt;År1,0,P267*(1-VLOOKUP($A268,[1]Hugst!$R$5:$W$9,MATCH(ROUNDUP((Q$1)/10,0)*10,[1]Hugst!$R$4:$W$4,0))))</f>
        <v>7179.3832541560078</v>
      </c>
      <c r="R268">
        <f ca="1">IF($C268-R$1&lt;År1,0,Q267*(1-VLOOKUP($A268,[1]Hugst!$R$5:$W$9,MATCH(ROUNDUP((R$1)/10,0)*10,[1]Hugst!$R$4:$W$4,0))))</f>
        <v>7185.7158739296856</v>
      </c>
      <c r="S268">
        <f ca="1">IF($C268-S$1&lt;År1,0,R267*(1-VLOOKUP($A268,[1]Hugst!$R$5:$W$9,MATCH(ROUNDUP((S$1)/10,0)*10,[1]Hugst!$R$4:$W$4,0))))</f>
        <v>7192.0803159132847</v>
      </c>
      <c r="T268">
        <f ca="1">IF($C268-T$1&lt;År1,0,S267*(1-VLOOKUP($A268,[1]Hugst!$R$5:$W$9,MATCH(ROUNDUP((T$1)/10,0)*10,[1]Hugst!$R$4:$W$4,0))))</f>
        <v>7198.4767400174187</v>
      </c>
      <c r="U268">
        <f ca="1">IF($C268-U$1&lt;År1,0,T267*(1-VLOOKUP($A268,[1]Hugst!$R$5:$W$9,MATCH(ROUNDUP((U$1)/10,0)*10,[1]Hugst!$R$4:$W$4,0))))</f>
        <v>7204.9053069562442</v>
      </c>
      <c r="V268">
        <f ca="1">IF($C268-V$1&lt;År1,0,U267*(1-VLOOKUP($A268,[1]Hugst!$R$5:$W$9,MATCH(ROUNDUP((V$1)/10,0)*10,[1]Hugst!$R$4:$W$4,0))))</f>
        <v>7211.3661782515483</v>
      </c>
      <c r="W268">
        <f ca="1">IF($C268-W$1&lt;År1,0,V267*(1-VLOOKUP($A268,[1]Hugst!$R$5:$W$9,MATCH(ROUNDUP((W$1)/10,0)*10,[1]Hugst!$R$4:$W$4,0))))</f>
        <v>7217.8595162367346</v>
      </c>
      <c r="X268">
        <f ca="1">IF($C268-X$1&lt;År1,0,W267*(1-VLOOKUP($A268,[1]Hugst!$R$5:$W$9,MATCH(ROUNDUP((X$1)/10,0)*10,[1]Hugst!$R$4:$W$4,0))))</f>
        <v>7224.3854840611129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1186.6249020780197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4442.1804576335762</v>
      </c>
      <c r="G269">
        <f ca="1">IF($C269-G$1&lt;År1,0,F268*(1-VLOOKUP($A269,[1]Hugst!$R$5:$W$9,MATCH(ROUNDUP((G$1)/10,0)*10,[1]Hugst!$R$4:$W$4,0))))</f>
        <v>4448.1433968400652</v>
      </c>
      <c r="H269">
        <f ca="1">IF($C269-H$1&lt;År1,0,G268*(1-VLOOKUP($A269,[1]Hugst!$R$5:$W$9,MATCH(ROUNDUP((H$1)/10,0)*10,[1]Hugst!$R$4:$W$4,0))))</f>
        <v>4454.1363005650765</v>
      </c>
      <c r="I269">
        <f ca="1">IF($C269-I$1&lt;År1,0,H268*(1-VLOOKUP($A269,[1]Hugst!$R$5:$W$9,MATCH(ROUNDUP((I$1)/10,0)*10,[1]Hugst!$R$4:$W$4,0))))</f>
        <v>4460.1593193842291</v>
      </c>
      <c r="J269">
        <f ca="1">IF($C269-J$1&lt;År1,0,I268*(1-VLOOKUP($A269,[1]Hugst!$R$5:$W$9,MATCH(ROUNDUP((J$1)/10,0)*10,[1]Hugst!$R$4:$W$4,0))))</f>
        <v>4466.2126046296016</v>
      </c>
      <c r="K269">
        <f ca="1">IF($C269-K$1&lt;År1,0,J268*(1-VLOOKUP($A269,[1]Hugst!$R$5:$W$9,MATCH(ROUNDUP((K$1)/10,0)*10,[1]Hugst!$R$4:$W$4,0))))</f>
        <v>4472.2963083937702</v>
      </c>
      <c r="L269">
        <f ca="1">IF($C269-L$1&lt;År1,0,K268*(1-VLOOKUP($A269,[1]Hugst!$R$5:$W$9,MATCH(ROUNDUP((L$1)/10,0)*10,[1]Hugst!$R$4:$W$4,0))))</f>
        <v>4478.4105835336577</v>
      </c>
      <c r="M269">
        <f ca="1">IF($C269-M$1&lt;År1,0,L268*(1-VLOOKUP($A269,[1]Hugst!$R$5:$W$9,MATCH(ROUNDUP((M$1)/10,0)*10,[1]Hugst!$R$4:$W$4,0))))</f>
        <v>4484.5555836742806</v>
      </c>
      <c r="N269">
        <f ca="1">IF($C269-N$1&lt;År1,0,M268*(1-VLOOKUP($A269,[1]Hugst!$R$5:$W$9,MATCH(ROUNDUP((N$1)/10,0)*10,[1]Hugst!$R$4:$W$4,0))))</f>
        <v>4490.7314632125017</v>
      </c>
      <c r="O269">
        <f ca="1">IF($C269-O$1&lt;År1,0,N268*(1-VLOOKUP($A269,[1]Hugst!$R$5:$W$9,MATCH(ROUNDUP((O$1)/10,0)*10,[1]Hugst!$R$4:$W$4,0))))</f>
        <v>7160.5747409577725</v>
      </c>
      <c r="P269">
        <f ca="1">IF($C269-P$1&lt;År1,0,O268*(1-VLOOKUP($A269,[1]Hugst!$R$5:$W$9,MATCH(ROUNDUP((P$1)/10,0)*10,[1]Hugst!$R$4:$W$4,0))))</f>
        <v>7166.8128455897004</v>
      </c>
      <c r="Q269">
        <f ca="1">IF($C269-Q$1&lt;År1,0,P268*(1-VLOOKUP($A269,[1]Hugst!$R$5:$W$9,MATCH(ROUNDUP((Q$1)/10,0)*10,[1]Hugst!$R$4:$W$4,0))))</f>
        <v>7173.0822974812017</v>
      </c>
      <c r="R269">
        <f ca="1">IF($C269-R$1&lt;År1,0,Q268*(1-VLOOKUP($A269,[1]Hugst!$R$5:$W$9,MATCH(ROUNDUP((R$1)/10,0)*10,[1]Hugst!$R$4:$W$4,0))))</f>
        <v>7179.3832541560078</v>
      </c>
      <c r="S269">
        <f ca="1">IF($C269-S$1&lt;År1,0,R268*(1-VLOOKUP($A269,[1]Hugst!$R$5:$W$9,MATCH(ROUNDUP((S$1)/10,0)*10,[1]Hugst!$R$4:$W$4,0))))</f>
        <v>7185.7158739296856</v>
      </c>
      <c r="T269">
        <f ca="1">IF($C269-T$1&lt;År1,0,S268*(1-VLOOKUP($A269,[1]Hugst!$R$5:$W$9,MATCH(ROUNDUP((T$1)/10,0)*10,[1]Hugst!$R$4:$W$4,0))))</f>
        <v>7192.0803159132847</v>
      </c>
      <c r="U269">
        <f ca="1">IF($C269-U$1&lt;År1,0,T268*(1-VLOOKUP($A269,[1]Hugst!$R$5:$W$9,MATCH(ROUNDUP((U$1)/10,0)*10,[1]Hugst!$R$4:$W$4,0))))</f>
        <v>7198.4767400174187</v>
      </c>
      <c r="V269">
        <f ca="1">IF($C269-V$1&lt;År1,0,U268*(1-VLOOKUP($A269,[1]Hugst!$R$5:$W$9,MATCH(ROUNDUP((V$1)/10,0)*10,[1]Hugst!$R$4:$W$4,0))))</f>
        <v>7204.9053069562442</v>
      </c>
      <c r="W269">
        <f ca="1">IF($C269-W$1&lt;År1,0,V268*(1-VLOOKUP($A269,[1]Hugst!$R$5:$W$9,MATCH(ROUNDUP((W$1)/10,0)*10,[1]Hugst!$R$4:$W$4,0))))</f>
        <v>7211.3661782515483</v>
      </c>
      <c r="X269">
        <f ca="1">IF($C269-X$1&lt;År1,0,W268*(1-VLOOKUP($A269,[1]Hugst!$R$5:$W$9,MATCH(ROUNDUP((X$1)/10,0)*10,[1]Hugst!$R$4:$W$4,0))))</f>
        <v>7217.8595162367346</v>
      </c>
      <c r="Y269">
        <f ca="1">IF($C269-Y$1&lt;År1,0,X268*(1-VLOOKUP($A269,[1]Hugst!$R$5:$W$9,MATCH(ROUNDUP((Y$1)/10,0)*10,[1]Hugst!$R$4:$W$4,0))))</f>
        <v>7224.3854840611129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1180.6917775676593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4436.2473331232159</v>
      </c>
      <c r="G270">
        <f ca="1">IF($C270-G$1&lt;År1,0,F269*(1-VLOOKUP($A270,[1]Hugst!$R$5:$W$9,MATCH(ROUNDUP((G$1)/10,0)*10,[1]Hugst!$R$4:$W$4,0))))</f>
        <v>4442.1804576335762</v>
      </c>
      <c r="H270">
        <f ca="1">IF($C270-H$1&lt;År1,0,G269*(1-VLOOKUP($A270,[1]Hugst!$R$5:$W$9,MATCH(ROUNDUP((H$1)/10,0)*10,[1]Hugst!$R$4:$W$4,0))))</f>
        <v>4448.1433968400652</v>
      </c>
      <c r="I270">
        <f ca="1">IF($C270-I$1&lt;År1,0,H269*(1-VLOOKUP($A270,[1]Hugst!$R$5:$W$9,MATCH(ROUNDUP((I$1)/10,0)*10,[1]Hugst!$R$4:$W$4,0))))</f>
        <v>4454.1363005650765</v>
      </c>
      <c r="J270">
        <f ca="1">IF($C270-J$1&lt;År1,0,I269*(1-VLOOKUP($A270,[1]Hugst!$R$5:$W$9,MATCH(ROUNDUP((J$1)/10,0)*10,[1]Hugst!$R$4:$W$4,0))))</f>
        <v>4460.1593193842291</v>
      </c>
      <c r="K270">
        <f ca="1">IF($C270-K$1&lt;År1,0,J269*(1-VLOOKUP($A270,[1]Hugst!$R$5:$W$9,MATCH(ROUNDUP((K$1)/10,0)*10,[1]Hugst!$R$4:$W$4,0))))</f>
        <v>4466.2126046296016</v>
      </c>
      <c r="L270">
        <f ca="1">IF($C270-L$1&lt;År1,0,K269*(1-VLOOKUP($A270,[1]Hugst!$R$5:$W$9,MATCH(ROUNDUP((L$1)/10,0)*10,[1]Hugst!$R$4:$W$4,0))))</f>
        <v>4472.2963083937702</v>
      </c>
      <c r="M270">
        <f ca="1">IF($C270-M$1&lt;År1,0,L269*(1-VLOOKUP($A270,[1]Hugst!$R$5:$W$9,MATCH(ROUNDUP((M$1)/10,0)*10,[1]Hugst!$R$4:$W$4,0))))</f>
        <v>4478.4105835336577</v>
      </c>
      <c r="N270">
        <f ca="1">IF($C270-N$1&lt;År1,0,M269*(1-VLOOKUP($A270,[1]Hugst!$R$5:$W$9,MATCH(ROUNDUP((N$1)/10,0)*10,[1]Hugst!$R$4:$W$4,0))))</f>
        <v>4484.5555836742806</v>
      </c>
      <c r="O270">
        <f ca="1">IF($C270-O$1&lt;År1,0,N269*(1-VLOOKUP($A270,[1]Hugst!$R$5:$W$9,MATCH(ROUNDUP((O$1)/10,0)*10,[1]Hugst!$R$4:$W$4,0))))</f>
        <v>4490.7314632125017</v>
      </c>
      <c r="P270">
        <f ca="1">IF($C270-P$1&lt;År1,0,O269*(1-VLOOKUP($A270,[1]Hugst!$R$5:$W$9,MATCH(ROUNDUP((P$1)/10,0)*10,[1]Hugst!$R$4:$W$4,0))))</f>
        <v>7160.5747409577725</v>
      </c>
      <c r="Q270">
        <f ca="1">IF($C270-Q$1&lt;År1,0,P269*(1-VLOOKUP($A270,[1]Hugst!$R$5:$W$9,MATCH(ROUNDUP((Q$1)/10,0)*10,[1]Hugst!$R$4:$W$4,0))))</f>
        <v>7166.8128455897004</v>
      </c>
      <c r="R270">
        <f ca="1">IF($C270-R$1&lt;År1,0,Q269*(1-VLOOKUP($A270,[1]Hugst!$R$5:$W$9,MATCH(ROUNDUP((R$1)/10,0)*10,[1]Hugst!$R$4:$W$4,0))))</f>
        <v>7173.0822974812017</v>
      </c>
      <c r="S270">
        <f ca="1">IF($C270-S$1&lt;År1,0,R269*(1-VLOOKUP($A270,[1]Hugst!$R$5:$W$9,MATCH(ROUNDUP((S$1)/10,0)*10,[1]Hugst!$R$4:$W$4,0))))</f>
        <v>7179.3832541560078</v>
      </c>
      <c r="T270">
        <f ca="1">IF($C270-T$1&lt;År1,0,S269*(1-VLOOKUP($A270,[1]Hugst!$R$5:$W$9,MATCH(ROUNDUP((T$1)/10,0)*10,[1]Hugst!$R$4:$W$4,0))))</f>
        <v>7185.7158739296856</v>
      </c>
      <c r="U270">
        <f ca="1">IF($C270-U$1&lt;År1,0,T269*(1-VLOOKUP($A270,[1]Hugst!$R$5:$W$9,MATCH(ROUNDUP((U$1)/10,0)*10,[1]Hugst!$R$4:$W$4,0))))</f>
        <v>7192.0803159132847</v>
      </c>
      <c r="V270">
        <f ca="1">IF($C270-V$1&lt;År1,0,U269*(1-VLOOKUP($A270,[1]Hugst!$R$5:$W$9,MATCH(ROUNDUP((V$1)/10,0)*10,[1]Hugst!$R$4:$W$4,0))))</f>
        <v>7198.4767400174187</v>
      </c>
      <c r="W270">
        <f ca="1">IF($C270-W$1&lt;År1,0,V269*(1-VLOOKUP($A270,[1]Hugst!$R$5:$W$9,MATCH(ROUNDUP((W$1)/10,0)*10,[1]Hugst!$R$4:$W$4,0))))</f>
        <v>7204.9053069562442</v>
      </c>
      <c r="X270">
        <f ca="1">IF($C270-X$1&lt;År1,0,W269*(1-VLOOKUP($A270,[1]Hugst!$R$5:$W$9,MATCH(ROUNDUP((X$1)/10,0)*10,[1]Hugst!$R$4:$W$4,0))))</f>
        <v>7211.3661782515483</v>
      </c>
      <c r="Y270">
        <f ca="1">IF($C270-Y$1&lt;År1,0,X269*(1-VLOOKUP($A270,[1]Hugst!$R$5:$W$9,MATCH(ROUNDUP((Y$1)/10,0)*10,[1]Hugst!$R$4:$W$4,0))))</f>
        <v>7217.8595162367346</v>
      </c>
      <c r="Z270">
        <f ca="1">IF($C270-Z$1&lt;År1,0,Y269*(1-VLOOKUP($A270,[1]Hugst!$R$5:$W$9,MATCH(ROUNDUP((Z$1)/10,0)*10,[1]Hugst!$R$4:$W$4,0))))</f>
        <v>7224.3854840611129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1174.7883186798426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4430.3438742353992</v>
      </c>
      <c r="G271">
        <f ca="1">IF($C271-G$1&lt;År1,0,F270*(1-VLOOKUP($A271,[1]Hugst!$R$5:$W$9,MATCH(ROUNDUP((G$1)/10,0)*10,[1]Hugst!$R$4:$W$4,0))))</f>
        <v>4436.2473331232159</v>
      </c>
      <c r="H271">
        <f ca="1">IF($C271-H$1&lt;År1,0,G270*(1-VLOOKUP($A271,[1]Hugst!$R$5:$W$9,MATCH(ROUNDUP((H$1)/10,0)*10,[1]Hugst!$R$4:$W$4,0))))</f>
        <v>4442.1804576335762</v>
      </c>
      <c r="I271">
        <f ca="1">IF($C271-I$1&lt;År1,0,H270*(1-VLOOKUP($A271,[1]Hugst!$R$5:$W$9,MATCH(ROUNDUP((I$1)/10,0)*10,[1]Hugst!$R$4:$W$4,0))))</f>
        <v>4448.1433968400652</v>
      </c>
      <c r="J271">
        <f ca="1">IF($C271-J$1&lt;År1,0,I270*(1-VLOOKUP($A271,[1]Hugst!$R$5:$W$9,MATCH(ROUNDUP((J$1)/10,0)*10,[1]Hugst!$R$4:$W$4,0))))</f>
        <v>4454.1363005650765</v>
      </c>
      <c r="K271">
        <f ca="1">IF($C271-K$1&lt;År1,0,J270*(1-VLOOKUP($A271,[1]Hugst!$R$5:$W$9,MATCH(ROUNDUP((K$1)/10,0)*10,[1]Hugst!$R$4:$W$4,0))))</f>
        <v>4460.1593193842291</v>
      </c>
      <c r="L271">
        <f ca="1">IF($C271-L$1&lt;År1,0,K270*(1-VLOOKUP($A271,[1]Hugst!$R$5:$W$9,MATCH(ROUNDUP((L$1)/10,0)*10,[1]Hugst!$R$4:$W$4,0))))</f>
        <v>4466.2126046296016</v>
      </c>
      <c r="M271">
        <f ca="1">IF($C271-M$1&lt;År1,0,L270*(1-VLOOKUP($A271,[1]Hugst!$R$5:$W$9,MATCH(ROUNDUP((M$1)/10,0)*10,[1]Hugst!$R$4:$W$4,0))))</f>
        <v>4472.2963083937702</v>
      </c>
      <c r="N271">
        <f ca="1">IF($C271-N$1&lt;År1,0,M270*(1-VLOOKUP($A271,[1]Hugst!$R$5:$W$9,MATCH(ROUNDUP((N$1)/10,0)*10,[1]Hugst!$R$4:$W$4,0))))</f>
        <v>4478.4105835336577</v>
      </c>
      <c r="O271">
        <f ca="1">IF($C271-O$1&lt;År1,0,N270*(1-VLOOKUP($A271,[1]Hugst!$R$5:$W$9,MATCH(ROUNDUP((O$1)/10,0)*10,[1]Hugst!$R$4:$W$4,0))))</f>
        <v>4484.5555836742806</v>
      </c>
      <c r="P271">
        <f ca="1">IF($C271-P$1&lt;År1,0,O270*(1-VLOOKUP($A271,[1]Hugst!$R$5:$W$9,MATCH(ROUNDUP((P$1)/10,0)*10,[1]Hugst!$R$4:$W$4,0))))</f>
        <v>4490.7314632125017</v>
      </c>
      <c r="Q271">
        <f ca="1">IF($C271-Q$1&lt;År1,0,P270*(1-VLOOKUP($A271,[1]Hugst!$R$5:$W$9,MATCH(ROUNDUP((Q$1)/10,0)*10,[1]Hugst!$R$4:$W$4,0))))</f>
        <v>7160.5747409577725</v>
      </c>
      <c r="R271">
        <f ca="1">IF($C271-R$1&lt;År1,0,Q270*(1-VLOOKUP($A271,[1]Hugst!$R$5:$W$9,MATCH(ROUNDUP((R$1)/10,0)*10,[1]Hugst!$R$4:$W$4,0))))</f>
        <v>7166.8128455897004</v>
      </c>
      <c r="S271">
        <f ca="1">IF($C271-S$1&lt;År1,0,R270*(1-VLOOKUP($A271,[1]Hugst!$R$5:$W$9,MATCH(ROUNDUP((S$1)/10,0)*10,[1]Hugst!$R$4:$W$4,0))))</f>
        <v>7173.0822974812017</v>
      </c>
      <c r="T271">
        <f ca="1">IF($C271-T$1&lt;År1,0,S270*(1-VLOOKUP($A271,[1]Hugst!$R$5:$W$9,MATCH(ROUNDUP((T$1)/10,0)*10,[1]Hugst!$R$4:$W$4,0))))</f>
        <v>7179.3832541560078</v>
      </c>
      <c r="U271">
        <f ca="1">IF($C271-U$1&lt;År1,0,T270*(1-VLOOKUP($A271,[1]Hugst!$R$5:$W$9,MATCH(ROUNDUP((U$1)/10,0)*10,[1]Hugst!$R$4:$W$4,0))))</f>
        <v>7185.7158739296856</v>
      </c>
      <c r="V271">
        <f ca="1">IF($C271-V$1&lt;År1,0,U270*(1-VLOOKUP($A271,[1]Hugst!$R$5:$W$9,MATCH(ROUNDUP((V$1)/10,0)*10,[1]Hugst!$R$4:$W$4,0))))</f>
        <v>7192.0803159132847</v>
      </c>
      <c r="W271">
        <f ca="1">IF($C271-W$1&lt;År1,0,V270*(1-VLOOKUP($A271,[1]Hugst!$R$5:$W$9,MATCH(ROUNDUP((W$1)/10,0)*10,[1]Hugst!$R$4:$W$4,0))))</f>
        <v>7198.4767400174187</v>
      </c>
      <c r="X271">
        <f ca="1">IF($C271-X$1&lt;År1,0,W270*(1-VLOOKUP($A271,[1]Hugst!$R$5:$W$9,MATCH(ROUNDUP((X$1)/10,0)*10,[1]Hugst!$R$4:$W$4,0))))</f>
        <v>7204.9053069562442</v>
      </c>
      <c r="Y271">
        <f ca="1">IF($C271-Y$1&lt;År1,0,X270*(1-VLOOKUP($A271,[1]Hugst!$R$5:$W$9,MATCH(ROUNDUP((Y$1)/10,0)*10,[1]Hugst!$R$4:$W$4,0))))</f>
        <v>7211.3661782515483</v>
      </c>
      <c r="Z271">
        <f ca="1">IF($C271-Z$1&lt;År1,0,Y270*(1-VLOOKUP($A271,[1]Hugst!$R$5:$W$9,MATCH(ROUNDUP((Z$1)/10,0)*10,[1]Hugst!$R$4:$W$4,0))))</f>
        <v>7217.8595162367346</v>
      </c>
      <c r="AA271">
        <f ca="1">IF($C271-AA$1&lt;År1,0,Z270*(1-VLOOKUP($A271,[1]Hugst!$R$5:$W$9,MATCH(ROUNDUP((AA$1)/10,0)*10,[1]Hugst!$R$4:$W$4,0))))</f>
        <v>7224.3854840611129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1168.9143770864212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4424.4699326419777</v>
      </c>
      <c r="G272">
        <f ca="1">IF($C272-G$1&lt;År1,0,F271*(1-VLOOKUP($A272,[1]Hugst!$R$5:$W$9,MATCH(ROUNDUP((G$1)/10,0)*10,[1]Hugst!$R$4:$W$4,0))))</f>
        <v>4430.3438742353992</v>
      </c>
      <c r="H272">
        <f ca="1">IF($C272-H$1&lt;År1,0,G271*(1-VLOOKUP($A272,[1]Hugst!$R$5:$W$9,MATCH(ROUNDUP((H$1)/10,0)*10,[1]Hugst!$R$4:$W$4,0))))</f>
        <v>4436.2473331232159</v>
      </c>
      <c r="I272">
        <f ca="1">IF($C272-I$1&lt;År1,0,H271*(1-VLOOKUP($A272,[1]Hugst!$R$5:$W$9,MATCH(ROUNDUP((I$1)/10,0)*10,[1]Hugst!$R$4:$W$4,0))))</f>
        <v>4442.1804576335762</v>
      </c>
      <c r="J272">
        <f ca="1">IF($C272-J$1&lt;År1,0,I271*(1-VLOOKUP($A272,[1]Hugst!$R$5:$W$9,MATCH(ROUNDUP((J$1)/10,0)*10,[1]Hugst!$R$4:$W$4,0))))</f>
        <v>4448.1433968400652</v>
      </c>
      <c r="K272">
        <f ca="1">IF($C272-K$1&lt;År1,0,J271*(1-VLOOKUP($A272,[1]Hugst!$R$5:$W$9,MATCH(ROUNDUP((K$1)/10,0)*10,[1]Hugst!$R$4:$W$4,0))))</f>
        <v>4454.1363005650765</v>
      </c>
      <c r="L272">
        <f ca="1">IF($C272-L$1&lt;År1,0,K271*(1-VLOOKUP($A272,[1]Hugst!$R$5:$W$9,MATCH(ROUNDUP((L$1)/10,0)*10,[1]Hugst!$R$4:$W$4,0))))</f>
        <v>4460.1593193842291</v>
      </c>
      <c r="M272">
        <f ca="1">IF($C272-M$1&lt;År1,0,L271*(1-VLOOKUP($A272,[1]Hugst!$R$5:$W$9,MATCH(ROUNDUP((M$1)/10,0)*10,[1]Hugst!$R$4:$W$4,0))))</f>
        <v>4466.2126046296016</v>
      </c>
      <c r="N272">
        <f ca="1">IF($C272-N$1&lt;År1,0,M271*(1-VLOOKUP($A272,[1]Hugst!$R$5:$W$9,MATCH(ROUNDUP((N$1)/10,0)*10,[1]Hugst!$R$4:$W$4,0))))</f>
        <v>4472.2963083937702</v>
      </c>
      <c r="O272">
        <f ca="1">IF($C272-O$1&lt;År1,0,N271*(1-VLOOKUP($A272,[1]Hugst!$R$5:$W$9,MATCH(ROUNDUP((O$1)/10,0)*10,[1]Hugst!$R$4:$W$4,0))))</f>
        <v>4478.4105835336577</v>
      </c>
      <c r="P272">
        <f ca="1">IF($C272-P$1&lt;År1,0,O271*(1-VLOOKUP($A272,[1]Hugst!$R$5:$W$9,MATCH(ROUNDUP((P$1)/10,0)*10,[1]Hugst!$R$4:$W$4,0))))</f>
        <v>4484.5555836742806</v>
      </c>
      <c r="Q272">
        <f ca="1">IF($C272-Q$1&lt;År1,0,P271*(1-VLOOKUP($A272,[1]Hugst!$R$5:$W$9,MATCH(ROUNDUP((Q$1)/10,0)*10,[1]Hugst!$R$4:$W$4,0))))</f>
        <v>4490.7314632125017</v>
      </c>
      <c r="R272">
        <f ca="1">IF($C272-R$1&lt;År1,0,Q271*(1-VLOOKUP($A272,[1]Hugst!$R$5:$W$9,MATCH(ROUNDUP((R$1)/10,0)*10,[1]Hugst!$R$4:$W$4,0))))</f>
        <v>7160.5747409577725</v>
      </c>
      <c r="S272">
        <f ca="1">IF($C272-S$1&lt;År1,0,R271*(1-VLOOKUP($A272,[1]Hugst!$R$5:$W$9,MATCH(ROUNDUP((S$1)/10,0)*10,[1]Hugst!$R$4:$W$4,0))))</f>
        <v>7166.8128455897004</v>
      </c>
      <c r="T272">
        <f ca="1">IF($C272-T$1&lt;År1,0,S271*(1-VLOOKUP($A272,[1]Hugst!$R$5:$W$9,MATCH(ROUNDUP((T$1)/10,0)*10,[1]Hugst!$R$4:$W$4,0))))</f>
        <v>7173.0822974812017</v>
      </c>
      <c r="U272">
        <f ca="1">IF($C272-U$1&lt;År1,0,T271*(1-VLOOKUP($A272,[1]Hugst!$R$5:$W$9,MATCH(ROUNDUP((U$1)/10,0)*10,[1]Hugst!$R$4:$W$4,0))))</f>
        <v>7179.3832541560078</v>
      </c>
      <c r="V272">
        <f ca="1">IF($C272-V$1&lt;År1,0,U271*(1-VLOOKUP($A272,[1]Hugst!$R$5:$W$9,MATCH(ROUNDUP((V$1)/10,0)*10,[1]Hugst!$R$4:$W$4,0))))</f>
        <v>7185.7158739296856</v>
      </c>
      <c r="W272">
        <f ca="1">IF($C272-W$1&lt;År1,0,V271*(1-VLOOKUP($A272,[1]Hugst!$R$5:$W$9,MATCH(ROUNDUP((W$1)/10,0)*10,[1]Hugst!$R$4:$W$4,0))))</f>
        <v>7192.0803159132847</v>
      </c>
      <c r="X272">
        <f ca="1">IF($C272-X$1&lt;År1,0,W271*(1-VLOOKUP($A272,[1]Hugst!$R$5:$W$9,MATCH(ROUNDUP((X$1)/10,0)*10,[1]Hugst!$R$4:$W$4,0))))</f>
        <v>7198.4767400174187</v>
      </c>
      <c r="Y272">
        <f ca="1">IF($C272-Y$1&lt;År1,0,X271*(1-VLOOKUP($A272,[1]Hugst!$R$5:$W$9,MATCH(ROUNDUP((Y$1)/10,0)*10,[1]Hugst!$R$4:$W$4,0))))</f>
        <v>7204.9053069562442</v>
      </c>
      <c r="Z272">
        <f ca="1">IF($C272-Z$1&lt;År1,0,Y271*(1-VLOOKUP($A272,[1]Hugst!$R$5:$W$9,MATCH(ROUNDUP((Z$1)/10,0)*10,[1]Hugst!$R$4:$W$4,0))))</f>
        <v>7211.3661782515483</v>
      </c>
      <c r="AA272">
        <f ca="1">IF($C272-AA$1&lt;År1,0,Z271*(1-VLOOKUP($A272,[1]Hugst!$R$5:$W$9,MATCH(ROUNDUP((AA$1)/10,0)*10,[1]Hugst!$R$4:$W$4,0))))</f>
        <v>7217.8595162367346</v>
      </c>
      <c r="AB272">
        <f ca="1">IF($C272-AB$1&lt;År1,0,AA271*(1-VLOOKUP($A272,[1]Hugst!$R$5:$W$9,MATCH(ROUNDUP((AB$1)/10,0)*10,[1]Hugst!$R$4:$W$4,0))))</f>
        <v>7224.3854840611129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1163.0698052009793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4418.6253607565359</v>
      </c>
      <c r="G273">
        <f ca="1">IF($C273-G$1&lt;År1,0,F272*(1-VLOOKUP($A273,[1]Hugst!$R$5:$W$9,MATCH(ROUNDUP((G$1)/10,0)*10,[1]Hugst!$R$4:$W$4,0))))</f>
        <v>4424.4699326419777</v>
      </c>
      <c r="H273">
        <f ca="1">IF($C273-H$1&lt;År1,0,G272*(1-VLOOKUP($A273,[1]Hugst!$R$5:$W$9,MATCH(ROUNDUP((H$1)/10,0)*10,[1]Hugst!$R$4:$W$4,0))))</f>
        <v>4430.3438742353992</v>
      </c>
      <c r="I273">
        <f ca="1">IF($C273-I$1&lt;År1,0,H272*(1-VLOOKUP($A273,[1]Hugst!$R$5:$W$9,MATCH(ROUNDUP((I$1)/10,0)*10,[1]Hugst!$R$4:$W$4,0))))</f>
        <v>4436.2473331232159</v>
      </c>
      <c r="J273">
        <f ca="1">IF($C273-J$1&lt;År1,0,I272*(1-VLOOKUP($A273,[1]Hugst!$R$5:$W$9,MATCH(ROUNDUP((J$1)/10,0)*10,[1]Hugst!$R$4:$W$4,0))))</f>
        <v>4442.1804576335762</v>
      </c>
      <c r="K273">
        <f ca="1">IF($C273-K$1&lt;År1,0,J272*(1-VLOOKUP($A273,[1]Hugst!$R$5:$W$9,MATCH(ROUNDUP((K$1)/10,0)*10,[1]Hugst!$R$4:$W$4,0))))</f>
        <v>4448.1433968400652</v>
      </c>
      <c r="L273">
        <f ca="1">IF($C273-L$1&lt;År1,0,K272*(1-VLOOKUP($A273,[1]Hugst!$R$5:$W$9,MATCH(ROUNDUP((L$1)/10,0)*10,[1]Hugst!$R$4:$W$4,0))))</f>
        <v>4454.1363005650765</v>
      </c>
      <c r="M273">
        <f ca="1">IF($C273-M$1&lt;År1,0,L272*(1-VLOOKUP($A273,[1]Hugst!$R$5:$W$9,MATCH(ROUNDUP((M$1)/10,0)*10,[1]Hugst!$R$4:$W$4,0))))</f>
        <v>4460.1593193842291</v>
      </c>
      <c r="N273">
        <f ca="1">IF($C273-N$1&lt;År1,0,M272*(1-VLOOKUP($A273,[1]Hugst!$R$5:$W$9,MATCH(ROUNDUP((N$1)/10,0)*10,[1]Hugst!$R$4:$W$4,0))))</f>
        <v>4466.2126046296016</v>
      </c>
      <c r="O273">
        <f ca="1">IF($C273-O$1&lt;År1,0,N272*(1-VLOOKUP($A273,[1]Hugst!$R$5:$W$9,MATCH(ROUNDUP((O$1)/10,0)*10,[1]Hugst!$R$4:$W$4,0))))</f>
        <v>4472.2963083937702</v>
      </c>
      <c r="P273">
        <f ca="1">IF($C273-P$1&lt;År1,0,O272*(1-VLOOKUP($A273,[1]Hugst!$R$5:$W$9,MATCH(ROUNDUP((P$1)/10,0)*10,[1]Hugst!$R$4:$W$4,0))))</f>
        <v>4478.4105835336577</v>
      </c>
      <c r="Q273">
        <f ca="1">IF($C273-Q$1&lt;År1,0,P272*(1-VLOOKUP($A273,[1]Hugst!$R$5:$W$9,MATCH(ROUNDUP((Q$1)/10,0)*10,[1]Hugst!$R$4:$W$4,0))))</f>
        <v>4484.5555836742806</v>
      </c>
      <c r="R273">
        <f ca="1">IF($C273-R$1&lt;År1,0,Q272*(1-VLOOKUP($A273,[1]Hugst!$R$5:$W$9,MATCH(ROUNDUP((R$1)/10,0)*10,[1]Hugst!$R$4:$W$4,0))))</f>
        <v>4490.7314632125017</v>
      </c>
      <c r="S273">
        <f ca="1">IF($C273-S$1&lt;År1,0,R272*(1-VLOOKUP($A273,[1]Hugst!$R$5:$W$9,MATCH(ROUNDUP((S$1)/10,0)*10,[1]Hugst!$R$4:$W$4,0))))</f>
        <v>7160.5747409577725</v>
      </c>
      <c r="T273">
        <f ca="1">IF($C273-T$1&lt;År1,0,S272*(1-VLOOKUP($A273,[1]Hugst!$R$5:$W$9,MATCH(ROUNDUP((T$1)/10,0)*10,[1]Hugst!$R$4:$W$4,0))))</f>
        <v>7166.8128455897004</v>
      </c>
      <c r="U273">
        <f ca="1">IF($C273-U$1&lt;År1,0,T272*(1-VLOOKUP($A273,[1]Hugst!$R$5:$W$9,MATCH(ROUNDUP((U$1)/10,0)*10,[1]Hugst!$R$4:$W$4,0))))</f>
        <v>7173.0822974812017</v>
      </c>
      <c r="V273">
        <f ca="1">IF($C273-V$1&lt;År1,0,U272*(1-VLOOKUP($A273,[1]Hugst!$R$5:$W$9,MATCH(ROUNDUP((V$1)/10,0)*10,[1]Hugst!$R$4:$W$4,0))))</f>
        <v>7179.3832541560078</v>
      </c>
      <c r="W273">
        <f ca="1">IF($C273-W$1&lt;År1,0,V272*(1-VLOOKUP($A273,[1]Hugst!$R$5:$W$9,MATCH(ROUNDUP((W$1)/10,0)*10,[1]Hugst!$R$4:$W$4,0))))</f>
        <v>7185.7158739296856</v>
      </c>
      <c r="X273">
        <f ca="1">IF($C273-X$1&lt;År1,0,W272*(1-VLOOKUP($A273,[1]Hugst!$R$5:$W$9,MATCH(ROUNDUP((X$1)/10,0)*10,[1]Hugst!$R$4:$W$4,0))))</f>
        <v>7192.0803159132847</v>
      </c>
      <c r="Y273">
        <f ca="1">IF($C273-Y$1&lt;År1,0,X272*(1-VLOOKUP($A273,[1]Hugst!$R$5:$W$9,MATCH(ROUNDUP((Y$1)/10,0)*10,[1]Hugst!$R$4:$W$4,0))))</f>
        <v>7198.4767400174187</v>
      </c>
      <c r="Z273">
        <f ca="1">IF($C273-Z$1&lt;År1,0,Y272*(1-VLOOKUP($A273,[1]Hugst!$R$5:$W$9,MATCH(ROUNDUP((Z$1)/10,0)*10,[1]Hugst!$R$4:$W$4,0))))</f>
        <v>7204.9053069562442</v>
      </c>
      <c r="AA273">
        <f ca="1">IF($C273-AA$1&lt;År1,0,Z272*(1-VLOOKUP($A273,[1]Hugst!$R$5:$W$9,MATCH(ROUNDUP((AA$1)/10,0)*10,[1]Hugst!$R$4:$W$4,0))))</f>
        <v>7211.3661782515483</v>
      </c>
      <c r="AB273">
        <f ca="1">IF($C273-AB$1&lt;År1,0,AA272*(1-VLOOKUP($A273,[1]Hugst!$R$5:$W$9,MATCH(ROUNDUP((AB$1)/10,0)*10,[1]Hugst!$R$4:$W$4,0))))</f>
        <v>7217.8595162367346</v>
      </c>
      <c r="AC273">
        <f ca="1">IF($C273-AC$1&lt;År1,0,AB272*(1-VLOOKUP($A273,[1]Hugst!$R$5:$W$9,MATCH(ROUNDUP((AC$1)/10,0)*10,[1]Hugst!$R$4:$W$4,0))))</f>
        <v>7224.3854840611129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1157.2544561749783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4412.8100117305348</v>
      </c>
      <c r="G274">
        <f ca="1">IF($C274-G$1&lt;År1,0,F273*(1-VLOOKUP($A274,[1]Hugst!$R$5:$W$9,MATCH(ROUNDUP((G$1)/10,0)*10,[1]Hugst!$R$4:$W$4,0))))</f>
        <v>4418.6253607565359</v>
      </c>
      <c r="H274">
        <f ca="1">IF($C274-H$1&lt;År1,0,G273*(1-VLOOKUP($A274,[1]Hugst!$R$5:$W$9,MATCH(ROUNDUP((H$1)/10,0)*10,[1]Hugst!$R$4:$W$4,0))))</f>
        <v>4424.4699326419777</v>
      </c>
      <c r="I274">
        <f ca="1">IF($C274-I$1&lt;År1,0,H273*(1-VLOOKUP($A274,[1]Hugst!$R$5:$W$9,MATCH(ROUNDUP((I$1)/10,0)*10,[1]Hugst!$R$4:$W$4,0))))</f>
        <v>4430.3438742353992</v>
      </c>
      <c r="J274">
        <f ca="1">IF($C274-J$1&lt;År1,0,I273*(1-VLOOKUP($A274,[1]Hugst!$R$5:$W$9,MATCH(ROUNDUP((J$1)/10,0)*10,[1]Hugst!$R$4:$W$4,0))))</f>
        <v>4436.2473331232159</v>
      </c>
      <c r="K274">
        <f ca="1">IF($C274-K$1&lt;År1,0,J273*(1-VLOOKUP($A274,[1]Hugst!$R$5:$W$9,MATCH(ROUNDUP((K$1)/10,0)*10,[1]Hugst!$R$4:$W$4,0))))</f>
        <v>4442.1804576335762</v>
      </c>
      <c r="L274">
        <f ca="1">IF($C274-L$1&lt;År1,0,K273*(1-VLOOKUP($A274,[1]Hugst!$R$5:$W$9,MATCH(ROUNDUP((L$1)/10,0)*10,[1]Hugst!$R$4:$W$4,0))))</f>
        <v>4448.1433968400652</v>
      </c>
      <c r="M274">
        <f ca="1">IF($C274-M$1&lt;År1,0,L273*(1-VLOOKUP($A274,[1]Hugst!$R$5:$W$9,MATCH(ROUNDUP((M$1)/10,0)*10,[1]Hugst!$R$4:$W$4,0))))</f>
        <v>4454.1363005650765</v>
      </c>
      <c r="N274">
        <f ca="1">IF($C274-N$1&lt;År1,0,M273*(1-VLOOKUP($A274,[1]Hugst!$R$5:$W$9,MATCH(ROUNDUP((N$1)/10,0)*10,[1]Hugst!$R$4:$W$4,0))))</f>
        <v>4460.1593193842291</v>
      </c>
      <c r="O274">
        <f ca="1">IF($C274-O$1&lt;År1,0,N273*(1-VLOOKUP($A274,[1]Hugst!$R$5:$W$9,MATCH(ROUNDUP((O$1)/10,0)*10,[1]Hugst!$R$4:$W$4,0))))</f>
        <v>4466.2126046296016</v>
      </c>
      <c r="P274">
        <f ca="1">IF($C274-P$1&lt;År1,0,O273*(1-VLOOKUP($A274,[1]Hugst!$R$5:$W$9,MATCH(ROUNDUP((P$1)/10,0)*10,[1]Hugst!$R$4:$W$4,0))))</f>
        <v>4472.2963083937702</v>
      </c>
      <c r="Q274">
        <f ca="1">IF($C274-Q$1&lt;År1,0,P273*(1-VLOOKUP($A274,[1]Hugst!$R$5:$W$9,MATCH(ROUNDUP((Q$1)/10,0)*10,[1]Hugst!$R$4:$W$4,0))))</f>
        <v>4478.4105835336577</v>
      </c>
      <c r="R274">
        <f ca="1">IF($C274-R$1&lt;År1,0,Q273*(1-VLOOKUP($A274,[1]Hugst!$R$5:$W$9,MATCH(ROUNDUP((R$1)/10,0)*10,[1]Hugst!$R$4:$W$4,0))))</f>
        <v>4484.5555836742806</v>
      </c>
      <c r="S274">
        <f ca="1">IF($C274-S$1&lt;År1,0,R273*(1-VLOOKUP($A274,[1]Hugst!$R$5:$W$9,MATCH(ROUNDUP((S$1)/10,0)*10,[1]Hugst!$R$4:$W$4,0))))</f>
        <v>4490.7314632125017</v>
      </c>
      <c r="T274">
        <f ca="1">IF($C274-T$1&lt;År1,0,S273*(1-VLOOKUP($A274,[1]Hugst!$R$5:$W$9,MATCH(ROUNDUP((T$1)/10,0)*10,[1]Hugst!$R$4:$W$4,0))))</f>
        <v>7160.5747409577725</v>
      </c>
      <c r="U274">
        <f ca="1">IF($C274-U$1&lt;År1,0,T273*(1-VLOOKUP($A274,[1]Hugst!$R$5:$W$9,MATCH(ROUNDUP((U$1)/10,0)*10,[1]Hugst!$R$4:$W$4,0))))</f>
        <v>7166.8128455897004</v>
      </c>
      <c r="V274">
        <f ca="1">IF($C274-V$1&lt;År1,0,U273*(1-VLOOKUP($A274,[1]Hugst!$R$5:$W$9,MATCH(ROUNDUP((V$1)/10,0)*10,[1]Hugst!$R$4:$W$4,0))))</f>
        <v>7173.0822974812017</v>
      </c>
      <c r="W274">
        <f ca="1">IF($C274-W$1&lt;År1,0,V273*(1-VLOOKUP($A274,[1]Hugst!$R$5:$W$9,MATCH(ROUNDUP((W$1)/10,0)*10,[1]Hugst!$R$4:$W$4,0))))</f>
        <v>7179.3832541560078</v>
      </c>
      <c r="X274">
        <f ca="1">IF($C274-X$1&lt;År1,0,W273*(1-VLOOKUP($A274,[1]Hugst!$R$5:$W$9,MATCH(ROUNDUP((X$1)/10,0)*10,[1]Hugst!$R$4:$W$4,0))))</f>
        <v>7185.7158739296856</v>
      </c>
      <c r="Y274">
        <f ca="1">IF($C274-Y$1&lt;År1,0,X273*(1-VLOOKUP($A274,[1]Hugst!$R$5:$W$9,MATCH(ROUNDUP((Y$1)/10,0)*10,[1]Hugst!$R$4:$W$4,0))))</f>
        <v>7192.0803159132847</v>
      </c>
      <c r="Z274">
        <f ca="1">IF($C274-Z$1&lt;År1,0,Y273*(1-VLOOKUP($A274,[1]Hugst!$R$5:$W$9,MATCH(ROUNDUP((Z$1)/10,0)*10,[1]Hugst!$R$4:$W$4,0))))</f>
        <v>7198.4767400174187</v>
      </c>
      <c r="AA274">
        <f ca="1">IF($C274-AA$1&lt;År1,0,Z273*(1-VLOOKUP($A274,[1]Hugst!$R$5:$W$9,MATCH(ROUNDUP((AA$1)/10,0)*10,[1]Hugst!$R$4:$W$4,0))))</f>
        <v>7204.9053069562442</v>
      </c>
      <c r="AB274">
        <f ca="1">IF($C274-AB$1&lt;År1,0,AA273*(1-VLOOKUP($A274,[1]Hugst!$R$5:$W$9,MATCH(ROUNDUP((AB$1)/10,0)*10,[1]Hugst!$R$4:$W$4,0))))</f>
        <v>7211.3661782515483</v>
      </c>
      <c r="AC274">
        <f ca="1">IF($C274-AC$1&lt;År1,0,AB273*(1-VLOOKUP($A274,[1]Hugst!$R$5:$W$9,MATCH(ROUNDUP((AC$1)/10,0)*10,[1]Hugst!$R$4:$W$4,0))))</f>
        <v>7217.8595162367346</v>
      </c>
      <c r="AD274">
        <f ca="1">IF($C274-AD$1&lt;År1,0,AC273*(1-VLOOKUP($A274,[1]Hugst!$R$5:$W$9,MATCH(ROUNDUP((AD$1)/10,0)*10,[1]Hugst!$R$4:$W$4,0))))</f>
        <v>7224.3854840611129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1151.4681838941069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4407.0237394496635</v>
      </c>
      <c r="G275">
        <f ca="1">IF($C275-G$1&lt;År1,0,F274*(1-VLOOKUP($A275,[1]Hugst!$R$5:$W$9,MATCH(ROUNDUP((G$1)/10,0)*10,[1]Hugst!$R$4:$W$4,0))))</f>
        <v>4412.8100117305348</v>
      </c>
      <c r="H275">
        <f ca="1">IF($C275-H$1&lt;År1,0,G274*(1-VLOOKUP($A275,[1]Hugst!$R$5:$W$9,MATCH(ROUNDUP((H$1)/10,0)*10,[1]Hugst!$R$4:$W$4,0))))</f>
        <v>4418.6253607565359</v>
      </c>
      <c r="I275">
        <f ca="1">IF($C275-I$1&lt;År1,0,H274*(1-VLOOKUP($A275,[1]Hugst!$R$5:$W$9,MATCH(ROUNDUP((I$1)/10,0)*10,[1]Hugst!$R$4:$W$4,0))))</f>
        <v>4424.4699326419777</v>
      </c>
      <c r="J275">
        <f ca="1">IF($C275-J$1&lt;År1,0,I274*(1-VLOOKUP($A275,[1]Hugst!$R$5:$W$9,MATCH(ROUNDUP((J$1)/10,0)*10,[1]Hugst!$R$4:$W$4,0))))</f>
        <v>4430.3438742353992</v>
      </c>
      <c r="K275">
        <f ca="1">IF($C275-K$1&lt;År1,0,J274*(1-VLOOKUP($A275,[1]Hugst!$R$5:$W$9,MATCH(ROUNDUP((K$1)/10,0)*10,[1]Hugst!$R$4:$W$4,0))))</f>
        <v>4436.2473331232159</v>
      </c>
      <c r="L275">
        <f ca="1">IF($C275-L$1&lt;År1,0,K274*(1-VLOOKUP($A275,[1]Hugst!$R$5:$W$9,MATCH(ROUNDUP((L$1)/10,0)*10,[1]Hugst!$R$4:$W$4,0))))</f>
        <v>4442.1804576335762</v>
      </c>
      <c r="M275">
        <f ca="1">IF($C275-M$1&lt;År1,0,L274*(1-VLOOKUP($A275,[1]Hugst!$R$5:$W$9,MATCH(ROUNDUP((M$1)/10,0)*10,[1]Hugst!$R$4:$W$4,0))))</f>
        <v>4448.1433968400652</v>
      </c>
      <c r="N275">
        <f ca="1">IF($C275-N$1&lt;År1,0,M274*(1-VLOOKUP($A275,[1]Hugst!$R$5:$W$9,MATCH(ROUNDUP((N$1)/10,0)*10,[1]Hugst!$R$4:$W$4,0))))</f>
        <v>4454.1363005650765</v>
      </c>
      <c r="O275">
        <f ca="1">IF($C275-O$1&lt;År1,0,N274*(1-VLOOKUP($A275,[1]Hugst!$R$5:$W$9,MATCH(ROUNDUP((O$1)/10,0)*10,[1]Hugst!$R$4:$W$4,0))))</f>
        <v>4460.1593193842291</v>
      </c>
      <c r="P275">
        <f ca="1">IF($C275-P$1&lt;År1,0,O274*(1-VLOOKUP($A275,[1]Hugst!$R$5:$W$9,MATCH(ROUNDUP((P$1)/10,0)*10,[1]Hugst!$R$4:$W$4,0))))</f>
        <v>4466.2126046296016</v>
      </c>
      <c r="Q275">
        <f ca="1">IF($C275-Q$1&lt;År1,0,P274*(1-VLOOKUP($A275,[1]Hugst!$R$5:$W$9,MATCH(ROUNDUP((Q$1)/10,0)*10,[1]Hugst!$R$4:$W$4,0))))</f>
        <v>4472.2963083937702</v>
      </c>
      <c r="R275">
        <f ca="1">IF($C275-R$1&lt;År1,0,Q274*(1-VLOOKUP($A275,[1]Hugst!$R$5:$W$9,MATCH(ROUNDUP((R$1)/10,0)*10,[1]Hugst!$R$4:$W$4,0))))</f>
        <v>4478.4105835336577</v>
      </c>
      <c r="S275">
        <f ca="1">IF($C275-S$1&lt;År1,0,R274*(1-VLOOKUP($A275,[1]Hugst!$R$5:$W$9,MATCH(ROUNDUP((S$1)/10,0)*10,[1]Hugst!$R$4:$W$4,0))))</f>
        <v>4484.5555836742806</v>
      </c>
      <c r="T275">
        <f ca="1">IF($C275-T$1&lt;År1,0,S274*(1-VLOOKUP($A275,[1]Hugst!$R$5:$W$9,MATCH(ROUNDUP((T$1)/10,0)*10,[1]Hugst!$R$4:$W$4,0))))</f>
        <v>4490.7314632125017</v>
      </c>
      <c r="U275">
        <f ca="1">IF($C275-U$1&lt;År1,0,T274*(1-VLOOKUP($A275,[1]Hugst!$R$5:$W$9,MATCH(ROUNDUP((U$1)/10,0)*10,[1]Hugst!$R$4:$W$4,0))))</f>
        <v>7160.5747409577725</v>
      </c>
      <c r="V275">
        <f ca="1">IF($C275-V$1&lt;År1,0,U274*(1-VLOOKUP($A275,[1]Hugst!$R$5:$W$9,MATCH(ROUNDUP((V$1)/10,0)*10,[1]Hugst!$R$4:$W$4,0))))</f>
        <v>7166.8128455897004</v>
      </c>
      <c r="W275">
        <f ca="1">IF($C275-W$1&lt;År1,0,V274*(1-VLOOKUP($A275,[1]Hugst!$R$5:$W$9,MATCH(ROUNDUP((W$1)/10,0)*10,[1]Hugst!$R$4:$W$4,0))))</f>
        <v>7173.0822974812017</v>
      </c>
      <c r="X275">
        <f ca="1">IF($C275-X$1&lt;År1,0,W274*(1-VLOOKUP($A275,[1]Hugst!$R$5:$W$9,MATCH(ROUNDUP((X$1)/10,0)*10,[1]Hugst!$R$4:$W$4,0))))</f>
        <v>7179.3832541560078</v>
      </c>
      <c r="Y275">
        <f ca="1">IF($C275-Y$1&lt;År1,0,X274*(1-VLOOKUP($A275,[1]Hugst!$R$5:$W$9,MATCH(ROUNDUP((Y$1)/10,0)*10,[1]Hugst!$R$4:$W$4,0))))</f>
        <v>7185.7158739296856</v>
      </c>
      <c r="Z275">
        <f ca="1">IF($C275-Z$1&lt;År1,0,Y274*(1-VLOOKUP($A275,[1]Hugst!$R$5:$W$9,MATCH(ROUNDUP((Z$1)/10,0)*10,[1]Hugst!$R$4:$W$4,0))))</f>
        <v>7192.0803159132847</v>
      </c>
      <c r="AA275">
        <f ca="1">IF($C275-AA$1&lt;År1,0,Z274*(1-VLOOKUP($A275,[1]Hugst!$R$5:$W$9,MATCH(ROUNDUP((AA$1)/10,0)*10,[1]Hugst!$R$4:$W$4,0))))</f>
        <v>7198.4767400174187</v>
      </c>
      <c r="AB275">
        <f ca="1">IF($C275-AB$1&lt;År1,0,AA274*(1-VLOOKUP($A275,[1]Hugst!$R$5:$W$9,MATCH(ROUNDUP((AB$1)/10,0)*10,[1]Hugst!$R$4:$W$4,0))))</f>
        <v>7204.9053069562442</v>
      </c>
      <c r="AC275">
        <f ca="1">IF($C275-AC$1&lt;År1,0,AB274*(1-VLOOKUP($A275,[1]Hugst!$R$5:$W$9,MATCH(ROUNDUP((AC$1)/10,0)*10,[1]Hugst!$R$4:$W$4,0))))</f>
        <v>7211.3661782515483</v>
      </c>
      <c r="AD275">
        <f ca="1">IF($C275-AD$1&lt;År1,0,AC274*(1-VLOOKUP($A275,[1]Hugst!$R$5:$W$9,MATCH(ROUNDUP((AD$1)/10,0)*10,[1]Hugst!$R$4:$W$4,0))))</f>
        <v>7217.8595162367346</v>
      </c>
      <c r="AE275">
        <f ca="1">IF($C275-AE$1&lt;År1,0,AD274*(1-VLOOKUP($A275,[1]Hugst!$R$5:$W$9,MATCH(ROUNDUP((AE$1)/10,0)*10,[1]Hugst!$R$4:$W$4,0))))</f>
        <v>7224.3854840611129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1145.7108429746695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4401.2663985302261</v>
      </c>
      <c r="G276">
        <f ca="1">IF($C276-G$1&lt;År1,0,F275*(1-VLOOKUP($A276,[1]Hugst!$R$5:$W$9,MATCH(ROUNDUP((G$1)/10,0)*10,[1]Hugst!$R$4:$W$4,0))))</f>
        <v>4407.0237394496635</v>
      </c>
      <c r="H276">
        <f ca="1">IF($C276-H$1&lt;År1,0,G275*(1-VLOOKUP($A276,[1]Hugst!$R$5:$W$9,MATCH(ROUNDUP((H$1)/10,0)*10,[1]Hugst!$R$4:$W$4,0))))</f>
        <v>4412.8100117305348</v>
      </c>
      <c r="I276">
        <f ca="1">IF($C276-I$1&lt;År1,0,H275*(1-VLOOKUP($A276,[1]Hugst!$R$5:$W$9,MATCH(ROUNDUP((I$1)/10,0)*10,[1]Hugst!$R$4:$W$4,0))))</f>
        <v>4418.6253607565359</v>
      </c>
      <c r="J276">
        <f ca="1">IF($C276-J$1&lt;År1,0,I275*(1-VLOOKUP($A276,[1]Hugst!$R$5:$W$9,MATCH(ROUNDUP((J$1)/10,0)*10,[1]Hugst!$R$4:$W$4,0))))</f>
        <v>4424.4699326419777</v>
      </c>
      <c r="K276">
        <f ca="1">IF($C276-K$1&lt;År1,0,J275*(1-VLOOKUP($A276,[1]Hugst!$R$5:$W$9,MATCH(ROUNDUP((K$1)/10,0)*10,[1]Hugst!$R$4:$W$4,0))))</f>
        <v>4430.3438742353992</v>
      </c>
      <c r="L276">
        <f ca="1">IF($C276-L$1&lt;År1,0,K275*(1-VLOOKUP($A276,[1]Hugst!$R$5:$W$9,MATCH(ROUNDUP((L$1)/10,0)*10,[1]Hugst!$R$4:$W$4,0))))</f>
        <v>4436.2473331232159</v>
      </c>
      <c r="M276">
        <f ca="1">IF($C276-M$1&lt;År1,0,L275*(1-VLOOKUP($A276,[1]Hugst!$R$5:$W$9,MATCH(ROUNDUP((M$1)/10,0)*10,[1]Hugst!$R$4:$W$4,0))))</f>
        <v>4442.1804576335762</v>
      </c>
      <c r="N276">
        <f ca="1">IF($C276-N$1&lt;År1,0,M275*(1-VLOOKUP($A276,[1]Hugst!$R$5:$W$9,MATCH(ROUNDUP((N$1)/10,0)*10,[1]Hugst!$R$4:$W$4,0))))</f>
        <v>4448.1433968400652</v>
      </c>
      <c r="O276">
        <f ca="1">IF($C276-O$1&lt;År1,0,N275*(1-VLOOKUP($A276,[1]Hugst!$R$5:$W$9,MATCH(ROUNDUP((O$1)/10,0)*10,[1]Hugst!$R$4:$W$4,0))))</f>
        <v>4454.1363005650765</v>
      </c>
      <c r="P276">
        <f ca="1">IF($C276-P$1&lt;År1,0,O275*(1-VLOOKUP($A276,[1]Hugst!$R$5:$W$9,MATCH(ROUNDUP((P$1)/10,0)*10,[1]Hugst!$R$4:$W$4,0))))</f>
        <v>4460.1593193842291</v>
      </c>
      <c r="Q276">
        <f ca="1">IF($C276-Q$1&lt;År1,0,P275*(1-VLOOKUP($A276,[1]Hugst!$R$5:$W$9,MATCH(ROUNDUP((Q$1)/10,0)*10,[1]Hugst!$R$4:$W$4,0))))</f>
        <v>4466.2126046296016</v>
      </c>
      <c r="R276">
        <f ca="1">IF($C276-R$1&lt;År1,0,Q275*(1-VLOOKUP($A276,[1]Hugst!$R$5:$W$9,MATCH(ROUNDUP((R$1)/10,0)*10,[1]Hugst!$R$4:$W$4,0))))</f>
        <v>4472.2963083937702</v>
      </c>
      <c r="S276">
        <f ca="1">IF($C276-S$1&lt;År1,0,R275*(1-VLOOKUP($A276,[1]Hugst!$R$5:$W$9,MATCH(ROUNDUP((S$1)/10,0)*10,[1]Hugst!$R$4:$W$4,0))))</f>
        <v>4478.4105835336577</v>
      </c>
      <c r="T276">
        <f ca="1">IF($C276-T$1&lt;År1,0,S275*(1-VLOOKUP($A276,[1]Hugst!$R$5:$W$9,MATCH(ROUNDUP((T$1)/10,0)*10,[1]Hugst!$R$4:$W$4,0))))</f>
        <v>4484.5555836742806</v>
      </c>
      <c r="U276">
        <f ca="1">IF($C276-U$1&lt;År1,0,T275*(1-VLOOKUP($A276,[1]Hugst!$R$5:$W$9,MATCH(ROUNDUP((U$1)/10,0)*10,[1]Hugst!$R$4:$W$4,0))))</f>
        <v>4490.7314632125017</v>
      </c>
      <c r="V276">
        <f ca="1">IF($C276-V$1&lt;År1,0,U275*(1-VLOOKUP($A276,[1]Hugst!$R$5:$W$9,MATCH(ROUNDUP((V$1)/10,0)*10,[1]Hugst!$R$4:$W$4,0))))</f>
        <v>7160.5747409577725</v>
      </c>
      <c r="W276">
        <f ca="1">IF($C276-W$1&lt;År1,0,V275*(1-VLOOKUP($A276,[1]Hugst!$R$5:$W$9,MATCH(ROUNDUP((W$1)/10,0)*10,[1]Hugst!$R$4:$W$4,0))))</f>
        <v>7166.8128455897004</v>
      </c>
      <c r="X276">
        <f ca="1">IF($C276-X$1&lt;År1,0,W275*(1-VLOOKUP($A276,[1]Hugst!$R$5:$W$9,MATCH(ROUNDUP((X$1)/10,0)*10,[1]Hugst!$R$4:$W$4,0))))</f>
        <v>7173.0822974812017</v>
      </c>
      <c r="Y276">
        <f ca="1">IF($C276-Y$1&lt;År1,0,X275*(1-VLOOKUP($A276,[1]Hugst!$R$5:$W$9,MATCH(ROUNDUP((Y$1)/10,0)*10,[1]Hugst!$R$4:$W$4,0))))</f>
        <v>7179.3832541560078</v>
      </c>
      <c r="Z276">
        <f ca="1">IF($C276-Z$1&lt;År1,0,Y275*(1-VLOOKUP($A276,[1]Hugst!$R$5:$W$9,MATCH(ROUNDUP((Z$1)/10,0)*10,[1]Hugst!$R$4:$W$4,0))))</f>
        <v>7185.7158739296856</v>
      </c>
      <c r="AA276">
        <f ca="1">IF($C276-AA$1&lt;År1,0,Z275*(1-VLOOKUP($A276,[1]Hugst!$R$5:$W$9,MATCH(ROUNDUP((AA$1)/10,0)*10,[1]Hugst!$R$4:$W$4,0))))</f>
        <v>7192.0803159132847</v>
      </c>
      <c r="AB276">
        <f ca="1">IF($C276-AB$1&lt;År1,0,AA275*(1-VLOOKUP($A276,[1]Hugst!$R$5:$W$9,MATCH(ROUNDUP((AB$1)/10,0)*10,[1]Hugst!$R$4:$W$4,0))))</f>
        <v>7198.4767400174187</v>
      </c>
      <c r="AC276">
        <f ca="1">IF($C276-AC$1&lt;År1,0,AB275*(1-VLOOKUP($A276,[1]Hugst!$R$5:$W$9,MATCH(ROUNDUP((AC$1)/10,0)*10,[1]Hugst!$R$4:$W$4,0))))</f>
        <v>7204.9053069562442</v>
      </c>
      <c r="AD276">
        <f ca="1">IF($C276-AD$1&lt;År1,0,AC275*(1-VLOOKUP($A276,[1]Hugst!$R$5:$W$9,MATCH(ROUNDUP((AD$1)/10,0)*10,[1]Hugst!$R$4:$W$4,0))))</f>
        <v>7211.3661782515483</v>
      </c>
      <c r="AE276">
        <f ca="1">IF($C276-AE$1&lt;År1,0,AD275*(1-VLOOKUP($A276,[1]Hugst!$R$5:$W$9,MATCH(ROUNDUP((AE$1)/10,0)*10,[1]Hugst!$R$4:$W$4,0))))</f>
        <v>7217.8595162367346</v>
      </c>
      <c r="AF276">
        <f ca="1">IF($C276-AF$1&lt;År1,0,AE275*(1-VLOOKUP($A276,[1]Hugst!$R$5:$W$9,MATCH(ROUNDUP((AF$1)/10,0)*10,[1]Hugst!$R$4:$W$4,0))))</f>
        <v>7224.3854840611129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1139.9822887597256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4395.5378443152822</v>
      </c>
      <c r="G277">
        <f ca="1">IF($C277-G$1&lt;År1,0,F276*(1-VLOOKUP($A277,[1]Hugst!$R$5:$W$9,MATCH(ROUNDUP((G$1)/10,0)*10,[1]Hugst!$R$4:$W$4,0))))</f>
        <v>4401.2663985302261</v>
      </c>
      <c r="H277">
        <f ca="1">IF($C277-H$1&lt;År1,0,G276*(1-VLOOKUP($A277,[1]Hugst!$R$5:$W$9,MATCH(ROUNDUP((H$1)/10,0)*10,[1]Hugst!$R$4:$W$4,0))))</f>
        <v>4407.0237394496635</v>
      </c>
      <c r="I277">
        <f ca="1">IF($C277-I$1&lt;År1,0,H276*(1-VLOOKUP($A277,[1]Hugst!$R$5:$W$9,MATCH(ROUNDUP((I$1)/10,0)*10,[1]Hugst!$R$4:$W$4,0))))</f>
        <v>4412.8100117305348</v>
      </c>
      <c r="J277">
        <f ca="1">IF($C277-J$1&lt;År1,0,I276*(1-VLOOKUP($A277,[1]Hugst!$R$5:$W$9,MATCH(ROUNDUP((J$1)/10,0)*10,[1]Hugst!$R$4:$W$4,0))))</f>
        <v>4418.6253607565359</v>
      </c>
      <c r="K277">
        <f ca="1">IF($C277-K$1&lt;År1,0,J276*(1-VLOOKUP($A277,[1]Hugst!$R$5:$W$9,MATCH(ROUNDUP((K$1)/10,0)*10,[1]Hugst!$R$4:$W$4,0))))</f>
        <v>4424.4699326419777</v>
      </c>
      <c r="L277">
        <f ca="1">IF($C277-L$1&lt;År1,0,K276*(1-VLOOKUP($A277,[1]Hugst!$R$5:$W$9,MATCH(ROUNDUP((L$1)/10,0)*10,[1]Hugst!$R$4:$W$4,0))))</f>
        <v>4430.3438742353992</v>
      </c>
      <c r="M277">
        <f ca="1">IF($C277-M$1&lt;År1,0,L276*(1-VLOOKUP($A277,[1]Hugst!$R$5:$W$9,MATCH(ROUNDUP((M$1)/10,0)*10,[1]Hugst!$R$4:$W$4,0))))</f>
        <v>4436.2473331232159</v>
      </c>
      <c r="N277">
        <f ca="1">IF($C277-N$1&lt;År1,0,M276*(1-VLOOKUP($A277,[1]Hugst!$R$5:$W$9,MATCH(ROUNDUP((N$1)/10,0)*10,[1]Hugst!$R$4:$W$4,0))))</f>
        <v>4442.1804576335762</v>
      </c>
      <c r="O277">
        <f ca="1">IF($C277-O$1&lt;År1,0,N276*(1-VLOOKUP($A277,[1]Hugst!$R$5:$W$9,MATCH(ROUNDUP((O$1)/10,0)*10,[1]Hugst!$R$4:$W$4,0))))</f>
        <v>4448.1433968400652</v>
      </c>
      <c r="P277">
        <f ca="1">IF($C277-P$1&lt;År1,0,O276*(1-VLOOKUP($A277,[1]Hugst!$R$5:$W$9,MATCH(ROUNDUP((P$1)/10,0)*10,[1]Hugst!$R$4:$W$4,0))))</f>
        <v>4454.1363005650765</v>
      </c>
      <c r="Q277">
        <f ca="1">IF($C277-Q$1&lt;År1,0,P276*(1-VLOOKUP($A277,[1]Hugst!$R$5:$W$9,MATCH(ROUNDUP((Q$1)/10,0)*10,[1]Hugst!$R$4:$W$4,0))))</f>
        <v>4460.1593193842291</v>
      </c>
      <c r="R277">
        <f ca="1">IF($C277-R$1&lt;År1,0,Q276*(1-VLOOKUP($A277,[1]Hugst!$R$5:$W$9,MATCH(ROUNDUP((R$1)/10,0)*10,[1]Hugst!$R$4:$W$4,0))))</f>
        <v>4466.2126046296016</v>
      </c>
      <c r="S277">
        <f ca="1">IF($C277-S$1&lt;År1,0,R276*(1-VLOOKUP($A277,[1]Hugst!$R$5:$W$9,MATCH(ROUNDUP((S$1)/10,0)*10,[1]Hugst!$R$4:$W$4,0))))</f>
        <v>4472.2963083937702</v>
      </c>
      <c r="T277">
        <f ca="1">IF($C277-T$1&lt;År1,0,S276*(1-VLOOKUP($A277,[1]Hugst!$R$5:$W$9,MATCH(ROUNDUP((T$1)/10,0)*10,[1]Hugst!$R$4:$W$4,0))))</f>
        <v>4478.4105835336577</v>
      </c>
      <c r="U277">
        <f ca="1">IF($C277-U$1&lt;År1,0,T276*(1-VLOOKUP($A277,[1]Hugst!$R$5:$W$9,MATCH(ROUNDUP((U$1)/10,0)*10,[1]Hugst!$R$4:$W$4,0))))</f>
        <v>4484.5555836742806</v>
      </c>
      <c r="V277">
        <f ca="1">IF($C277-V$1&lt;År1,0,U276*(1-VLOOKUP($A277,[1]Hugst!$R$5:$W$9,MATCH(ROUNDUP((V$1)/10,0)*10,[1]Hugst!$R$4:$W$4,0))))</f>
        <v>4490.7314632125017</v>
      </c>
      <c r="W277">
        <f ca="1">IF($C277-W$1&lt;År1,0,V276*(1-VLOOKUP($A277,[1]Hugst!$R$5:$W$9,MATCH(ROUNDUP((W$1)/10,0)*10,[1]Hugst!$R$4:$W$4,0))))</f>
        <v>7160.5747409577725</v>
      </c>
      <c r="X277">
        <f ca="1">IF($C277-X$1&lt;År1,0,W276*(1-VLOOKUP($A277,[1]Hugst!$R$5:$W$9,MATCH(ROUNDUP((X$1)/10,0)*10,[1]Hugst!$R$4:$W$4,0))))</f>
        <v>7166.8128455897004</v>
      </c>
      <c r="Y277">
        <f ca="1">IF($C277-Y$1&lt;År1,0,X276*(1-VLOOKUP($A277,[1]Hugst!$R$5:$W$9,MATCH(ROUNDUP((Y$1)/10,0)*10,[1]Hugst!$R$4:$W$4,0))))</f>
        <v>7173.0822974812017</v>
      </c>
      <c r="Z277">
        <f ca="1">IF($C277-Z$1&lt;År1,0,Y276*(1-VLOOKUP($A277,[1]Hugst!$R$5:$W$9,MATCH(ROUNDUP((Z$1)/10,0)*10,[1]Hugst!$R$4:$W$4,0))))</f>
        <v>7179.3832541560078</v>
      </c>
      <c r="AA277">
        <f ca="1">IF($C277-AA$1&lt;År1,0,Z276*(1-VLOOKUP($A277,[1]Hugst!$R$5:$W$9,MATCH(ROUNDUP((AA$1)/10,0)*10,[1]Hugst!$R$4:$W$4,0))))</f>
        <v>7185.7158739296856</v>
      </c>
      <c r="AB277">
        <f ca="1">IF($C277-AB$1&lt;År1,0,AA276*(1-VLOOKUP($A277,[1]Hugst!$R$5:$W$9,MATCH(ROUNDUP((AB$1)/10,0)*10,[1]Hugst!$R$4:$W$4,0))))</f>
        <v>7192.0803159132847</v>
      </c>
      <c r="AC277">
        <f ca="1">IF($C277-AC$1&lt;År1,0,AB276*(1-VLOOKUP($A277,[1]Hugst!$R$5:$W$9,MATCH(ROUNDUP((AC$1)/10,0)*10,[1]Hugst!$R$4:$W$4,0))))</f>
        <v>7198.4767400174187</v>
      </c>
      <c r="AD277">
        <f ca="1">IF($C277-AD$1&lt;År1,0,AC276*(1-VLOOKUP($A277,[1]Hugst!$R$5:$W$9,MATCH(ROUNDUP((AD$1)/10,0)*10,[1]Hugst!$R$4:$W$4,0))))</f>
        <v>7204.9053069562442</v>
      </c>
      <c r="AE277">
        <f ca="1">IF($C277-AE$1&lt;År1,0,AD276*(1-VLOOKUP($A277,[1]Hugst!$R$5:$W$9,MATCH(ROUNDUP((AE$1)/10,0)*10,[1]Hugst!$R$4:$W$4,0))))</f>
        <v>7211.3661782515483</v>
      </c>
      <c r="AF277">
        <f ca="1">IF($C277-AF$1&lt;År1,0,AE276*(1-VLOOKUP($A277,[1]Hugst!$R$5:$W$9,MATCH(ROUNDUP((AF$1)/10,0)*10,[1]Hugst!$R$4:$W$4,0))))</f>
        <v>7217.8595162367346</v>
      </c>
      <c r="AG277">
        <f ca="1">IF($C277-AG$1&lt;År1,0,AF276*(1-VLOOKUP($A277,[1]Hugst!$R$5:$W$9,MATCH(ROUNDUP((AG$1)/10,0)*10,[1]Hugst!$R$4:$W$4,0))))</f>
        <v>7224.3854840611129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1134.2823773159689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4389.8379328715255</v>
      </c>
      <c r="G278">
        <f ca="1">IF($C278-G$1&lt;År1,0,F277*(1-VLOOKUP($A278,[1]Hugst!$R$5:$W$9,MATCH(ROUNDUP((G$1)/10,0)*10,[1]Hugst!$R$4:$W$4,0))))</f>
        <v>4395.5378443152822</v>
      </c>
      <c r="H278">
        <f ca="1">IF($C278-H$1&lt;År1,0,G277*(1-VLOOKUP($A278,[1]Hugst!$R$5:$W$9,MATCH(ROUNDUP((H$1)/10,0)*10,[1]Hugst!$R$4:$W$4,0))))</f>
        <v>4401.2663985302261</v>
      </c>
      <c r="I278">
        <f ca="1">IF($C278-I$1&lt;År1,0,H277*(1-VLOOKUP($A278,[1]Hugst!$R$5:$W$9,MATCH(ROUNDUP((I$1)/10,0)*10,[1]Hugst!$R$4:$W$4,0))))</f>
        <v>4407.0237394496635</v>
      </c>
      <c r="J278">
        <f ca="1">IF($C278-J$1&lt;År1,0,I277*(1-VLOOKUP($A278,[1]Hugst!$R$5:$W$9,MATCH(ROUNDUP((J$1)/10,0)*10,[1]Hugst!$R$4:$W$4,0))))</f>
        <v>4412.8100117305348</v>
      </c>
      <c r="K278">
        <f ca="1">IF($C278-K$1&lt;År1,0,J277*(1-VLOOKUP($A278,[1]Hugst!$R$5:$W$9,MATCH(ROUNDUP((K$1)/10,0)*10,[1]Hugst!$R$4:$W$4,0))))</f>
        <v>4418.6253607565359</v>
      </c>
      <c r="L278">
        <f ca="1">IF($C278-L$1&lt;År1,0,K277*(1-VLOOKUP($A278,[1]Hugst!$R$5:$W$9,MATCH(ROUNDUP((L$1)/10,0)*10,[1]Hugst!$R$4:$W$4,0))))</f>
        <v>4424.4699326419777</v>
      </c>
      <c r="M278">
        <f ca="1">IF($C278-M$1&lt;År1,0,L277*(1-VLOOKUP($A278,[1]Hugst!$R$5:$W$9,MATCH(ROUNDUP((M$1)/10,0)*10,[1]Hugst!$R$4:$W$4,0))))</f>
        <v>4430.3438742353992</v>
      </c>
      <c r="N278">
        <f ca="1">IF($C278-N$1&lt;År1,0,M277*(1-VLOOKUP($A278,[1]Hugst!$R$5:$W$9,MATCH(ROUNDUP((N$1)/10,0)*10,[1]Hugst!$R$4:$W$4,0))))</f>
        <v>4436.2473331232159</v>
      </c>
      <c r="O278">
        <f ca="1">IF($C278-O$1&lt;År1,0,N277*(1-VLOOKUP($A278,[1]Hugst!$R$5:$W$9,MATCH(ROUNDUP((O$1)/10,0)*10,[1]Hugst!$R$4:$W$4,0))))</f>
        <v>4442.1804576335762</v>
      </c>
      <c r="P278">
        <f ca="1">IF($C278-P$1&lt;År1,0,O277*(1-VLOOKUP($A278,[1]Hugst!$R$5:$W$9,MATCH(ROUNDUP((P$1)/10,0)*10,[1]Hugst!$R$4:$W$4,0))))</f>
        <v>4448.1433968400652</v>
      </c>
      <c r="Q278">
        <f ca="1">IF($C278-Q$1&lt;År1,0,P277*(1-VLOOKUP($A278,[1]Hugst!$R$5:$W$9,MATCH(ROUNDUP((Q$1)/10,0)*10,[1]Hugst!$R$4:$W$4,0))))</f>
        <v>4454.1363005650765</v>
      </c>
      <c r="R278">
        <f ca="1">IF($C278-R$1&lt;År1,0,Q277*(1-VLOOKUP($A278,[1]Hugst!$R$5:$W$9,MATCH(ROUNDUP((R$1)/10,0)*10,[1]Hugst!$R$4:$W$4,0))))</f>
        <v>4460.1593193842291</v>
      </c>
      <c r="S278">
        <f ca="1">IF($C278-S$1&lt;År1,0,R277*(1-VLOOKUP($A278,[1]Hugst!$R$5:$W$9,MATCH(ROUNDUP((S$1)/10,0)*10,[1]Hugst!$R$4:$W$4,0))))</f>
        <v>4466.2126046296016</v>
      </c>
      <c r="T278">
        <f ca="1">IF($C278-T$1&lt;År1,0,S277*(1-VLOOKUP($A278,[1]Hugst!$R$5:$W$9,MATCH(ROUNDUP((T$1)/10,0)*10,[1]Hugst!$R$4:$W$4,0))))</f>
        <v>4472.2963083937702</v>
      </c>
      <c r="U278">
        <f ca="1">IF($C278-U$1&lt;År1,0,T277*(1-VLOOKUP($A278,[1]Hugst!$R$5:$W$9,MATCH(ROUNDUP((U$1)/10,0)*10,[1]Hugst!$R$4:$W$4,0))))</f>
        <v>4478.4105835336577</v>
      </c>
      <c r="V278">
        <f ca="1">IF($C278-V$1&lt;År1,0,U277*(1-VLOOKUP($A278,[1]Hugst!$R$5:$W$9,MATCH(ROUNDUP((V$1)/10,0)*10,[1]Hugst!$R$4:$W$4,0))))</f>
        <v>4484.5555836742806</v>
      </c>
      <c r="W278">
        <f ca="1">IF($C278-W$1&lt;År1,0,V277*(1-VLOOKUP($A278,[1]Hugst!$R$5:$W$9,MATCH(ROUNDUP((W$1)/10,0)*10,[1]Hugst!$R$4:$W$4,0))))</f>
        <v>4490.7314632125017</v>
      </c>
      <c r="X278">
        <f ca="1">IF($C278-X$1&lt;År1,0,W277*(1-VLOOKUP($A278,[1]Hugst!$R$5:$W$9,MATCH(ROUNDUP((X$1)/10,0)*10,[1]Hugst!$R$4:$W$4,0))))</f>
        <v>7160.5747409577725</v>
      </c>
      <c r="Y278">
        <f ca="1">IF($C278-Y$1&lt;År1,0,X277*(1-VLOOKUP($A278,[1]Hugst!$R$5:$W$9,MATCH(ROUNDUP((Y$1)/10,0)*10,[1]Hugst!$R$4:$W$4,0))))</f>
        <v>7166.8128455897004</v>
      </c>
      <c r="Z278">
        <f ca="1">IF($C278-Z$1&lt;År1,0,Y277*(1-VLOOKUP($A278,[1]Hugst!$R$5:$W$9,MATCH(ROUNDUP((Z$1)/10,0)*10,[1]Hugst!$R$4:$W$4,0))))</f>
        <v>7173.0822974812017</v>
      </c>
      <c r="AA278">
        <f ca="1">IF($C278-AA$1&lt;År1,0,Z277*(1-VLOOKUP($A278,[1]Hugst!$R$5:$W$9,MATCH(ROUNDUP((AA$1)/10,0)*10,[1]Hugst!$R$4:$W$4,0))))</f>
        <v>7179.3832541560078</v>
      </c>
      <c r="AB278">
        <f ca="1">IF($C278-AB$1&lt;År1,0,AA277*(1-VLOOKUP($A278,[1]Hugst!$R$5:$W$9,MATCH(ROUNDUP((AB$1)/10,0)*10,[1]Hugst!$R$4:$W$4,0))))</f>
        <v>7185.7158739296856</v>
      </c>
      <c r="AC278">
        <f ca="1">IF($C278-AC$1&lt;År1,0,AB277*(1-VLOOKUP($A278,[1]Hugst!$R$5:$W$9,MATCH(ROUNDUP((AC$1)/10,0)*10,[1]Hugst!$R$4:$W$4,0))))</f>
        <v>7192.0803159132847</v>
      </c>
      <c r="AD278">
        <f ca="1">IF($C278-AD$1&lt;År1,0,AC277*(1-VLOOKUP($A278,[1]Hugst!$R$5:$W$9,MATCH(ROUNDUP((AD$1)/10,0)*10,[1]Hugst!$R$4:$W$4,0))))</f>
        <v>7198.4767400174187</v>
      </c>
      <c r="AE278">
        <f ca="1">IF($C278-AE$1&lt;År1,0,AD277*(1-VLOOKUP($A278,[1]Hugst!$R$5:$W$9,MATCH(ROUNDUP((AE$1)/10,0)*10,[1]Hugst!$R$4:$W$4,0))))</f>
        <v>7204.9053069562442</v>
      </c>
      <c r="AF278">
        <f ca="1">IF($C278-AF$1&lt;År1,0,AE277*(1-VLOOKUP($A278,[1]Hugst!$R$5:$W$9,MATCH(ROUNDUP((AF$1)/10,0)*10,[1]Hugst!$R$4:$W$4,0))))</f>
        <v>7211.3661782515483</v>
      </c>
      <c r="AG278">
        <f ca="1">IF($C278-AG$1&lt;År1,0,AF277*(1-VLOOKUP($A278,[1]Hugst!$R$5:$W$9,MATCH(ROUNDUP((AG$1)/10,0)*10,[1]Hugst!$R$4:$W$4,0))))</f>
        <v>7217.8595162367346</v>
      </c>
      <c r="AH278">
        <f ca="1">IF($C278-AH$1&lt;År1,0,AG277*(1-VLOOKUP($A278,[1]Hugst!$R$5:$W$9,MATCH(ROUNDUP((AH$1)/10,0)*10,[1]Hugst!$R$4:$W$4,0))))</f>
        <v>7224.3854840611129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1128.6109654293832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4384.1665209849398</v>
      </c>
      <c r="G279">
        <f ca="1">IF($C279-G$1&lt;År1,0,F278*(1-VLOOKUP($A279,[1]Hugst!$R$5:$W$9,MATCH(ROUNDUP((G$1)/10,0)*10,[1]Hugst!$R$4:$W$4,0))))</f>
        <v>4389.8379328715255</v>
      </c>
      <c r="H279">
        <f ca="1">IF($C279-H$1&lt;År1,0,G278*(1-VLOOKUP($A279,[1]Hugst!$R$5:$W$9,MATCH(ROUNDUP((H$1)/10,0)*10,[1]Hugst!$R$4:$W$4,0))))</f>
        <v>4395.5378443152822</v>
      </c>
      <c r="I279">
        <f ca="1">IF($C279-I$1&lt;År1,0,H278*(1-VLOOKUP($A279,[1]Hugst!$R$5:$W$9,MATCH(ROUNDUP((I$1)/10,0)*10,[1]Hugst!$R$4:$W$4,0))))</f>
        <v>4401.2663985302261</v>
      </c>
      <c r="J279">
        <f ca="1">IF($C279-J$1&lt;År1,0,I278*(1-VLOOKUP($A279,[1]Hugst!$R$5:$W$9,MATCH(ROUNDUP((J$1)/10,0)*10,[1]Hugst!$R$4:$W$4,0))))</f>
        <v>4407.0237394496635</v>
      </c>
      <c r="K279">
        <f ca="1">IF($C279-K$1&lt;År1,0,J278*(1-VLOOKUP($A279,[1]Hugst!$R$5:$W$9,MATCH(ROUNDUP((K$1)/10,0)*10,[1]Hugst!$R$4:$W$4,0))))</f>
        <v>4412.8100117305348</v>
      </c>
      <c r="L279">
        <f ca="1">IF($C279-L$1&lt;År1,0,K278*(1-VLOOKUP($A279,[1]Hugst!$R$5:$W$9,MATCH(ROUNDUP((L$1)/10,0)*10,[1]Hugst!$R$4:$W$4,0))))</f>
        <v>4418.6253607565359</v>
      </c>
      <c r="M279">
        <f ca="1">IF($C279-M$1&lt;År1,0,L278*(1-VLOOKUP($A279,[1]Hugst!$R$5:$W$9,MATCH(ROUNDUP((M$1)/10,0)*10,[1]Hugst!$R$4:$W$4,0))))</f>
        <v>4424.4699326419777</v>
      </c>
      <c r="N279">
        <f ca="1">IF($C279-N$1&lt;År1,0,M278*(1-VLOOKUP($A279,[1]Hugst!$R$5:$W$9,MATCH(ROUNDUP((N$1)/10,0)*10,[1]Hugst!$R$4:$W$4,0))))</f>
        <v>4430.3438742353992</v>
      </c>
      <c r="O279">
        <f ca="1">IF($C279-O$1&lt;År1,0,N278*(1-VLOOKUP($A279,[1]Hugst!$R$5:$W$9,MATCH(ROUNDUP((O$1)/10,0)*10,[1]Hugst!$R$4:$W$4,0))))</f>
        <v>4436.2473331232159</v>
      </c>
      <c r="P279">
        <f ca="1">IF($C279-P$1&lt;År1,0,O278*(1-VLOOKUP($A279,[1]Hugst!$R$5:$W$9,MATCH(ROUNDUP((P$1)/10,0)*10,[1]Hugst!$R$4:$W$4,0))))</f>
        <v>4442.1804576335762</v>
      </c>
      <c r="Q279">
        <f ca="1">IF($C279-Q$1&lt;År1,0,P278*(1-VLOOKUP($A279,[1]Hugst!$R$5:$W$9,MATCH(ROUNDUP((Q$1)/10,0)*10,[1]Hugst!$R$4:$W$4,0))))</f>
        <v>4448.1433968400652</v>
      </c>
      <c r="R279">
        <f ca="1">IF($C279-R$1&lt;År1,0,Q278*(1-VLOOKUP($A279,[1]Hugst!$R$5:$W$9,MATCH(ROUNDUP((R$1)/10,0)*10,[1]Hugst!$R$4:$W$4,0))))</f>
        <v>4454.1363005650765</v>
      </c>
      <c r="S279">
        <f ca="1">IF($C279-S$1&lt;År1,0,R278*(1-VLOOKUP($A279,[1]Hugst!$R$5:$W$9,MATCH(ROUNDUP((S$1)/10,0)*10,[1]Hugst!$R$4:$W$4,0))))</f>
        <v>4460.1593193842291</v>
      </c>
      <c r="T279">
        <f ca="1">IF($C279-T$1&lt;År1,0,S278*(1-VLOOKUP($A279,[1]Hugst!$R$5:$W$9,MATCH(ROUNDUP((T$1)/10,0)*10,[1]Hugst!$R$4:$W$4,0))))</f>
        <v>4466.2126046296016</v>
      </c>
      <c r="U279">
        <f ca="1">IF($C279-U$1&lt;År1,0,T278*(1-VLOOKUP($A279,[1]Hugst!$R$5:$W$9,MATCH(ROUNDUP((U$1)/10,0)*10,[1]Hugst!$R$4:$W$4,0))))</f>
        <v>4472.2963083937702</v>
      </c>
      <c r="V279">
        <f ca="1">IF($C279-V$1&lt;År1,0,U278*(1-VLOOKUP($A279,[1]Hugst!$R$5:$W$9,MATCH(ROUNDUP((V$1)/10,0)*10,[1]Hugst!$R$4:$W$4,0))))</f>
        <v>4478.4105835336577</v>
      </c>
      <c r="W279">
        <f ca="1">IF($C279-W$1&lt;År1,0,V278*(1-VLOOKUP($A279,[1]Hugst!$R$5:$W$9,MATCH(ROUNDUP((W$1)/10,0)*10,[1]Hugst!$R$4:$W$4,0))))</f>
        <v>4484.5555836742806</v>
      </c>
      <c r="X279">
        <f ca="1">IF($C279-X$1&lt;År1,0,W278*(1-VLOOKUP($A279,[1]Hugst!$R$5:$W$9,MATCH(ROUNDUP((X$1)/10,0)*10,[1]Hugst!$R$4:$W$4,0))))</f>
        <v>4490.7314632125017</v>
      </c>
      <c r="Y279">
        <f ca="1">IF($C279-Y$1&lt;År1,0,X278*(1-VLOOKUP($A279,[1]Hugst!$R$5:$W$9,MATCH(ROUNDUP((Y$1)/10,0)*10,[1]Hugst!$R$4:$W$4,0))))</f>
        <v>7160.5747409577725</v>
      </c>
      <c r="Z279">
        <f ca="1">IF($C279-Z$1&lt;År1,0,Y278*(1-VLOOKUP($A279,[1]Hugst!$R$5:$W$9,MATCH(ROUNDUP((Z$1)/10,0)*10,[1]Hugst!$R$4:$W$4,0))))</f>
        <v>7166.8128455897004</v>
      </c>
      <c r="AA279">
        <f ca="1">IF($C279-AA$1&lt;År1,0,Z278*(1-VLOOKUP($A279,[1]Hugst!$R$5:$W$9,MATCH(ROUNDUP((AA$1)/10,0)*10,[1]Hugst!$R$4:$W$4,0))))</f>
        <v>7173.0822974812017</v>
      </c>
      <c r="AB279">
        <f ca="1">IF($C279-AB$1&lt;År1,0,AA278*(1-VLOOKUP($A279,[1]Hugst!$R$5:$W$9,MATCH(ROUNDUP((AB$1)/10,0)*10,[1]Hugst!$R$4:$W$4,0))))</f>
        <v>7179.3832541560078</v>
      </c>
      <c r="AC279">
        <f ca="1">IF($C279-AC$1&lt;År1,0,AB278*(1-VLOOKUP($A279,[1]Hugst!$R$5:$W$9,MATCH(ROUNDUP((AC$1)/10,0)*10,[1]Hugst!$R$4:$W$4,0))))</f>
        <v>7185.7158739296856</v>
      </c>
      <c r="AD279">
        <f ca="1">IF($C279-AD$1&lt;År1,0,AC278*(1-VLOOKUP($A279,[1]Hugst!$R$5:$W$9,MATCH(ROUNDUP((AD$1)/10,0)*10,[1]Hugst!$R$4:$W$4,0))))</f>
        <v>7192.0803159132847</v>
      </c>
      <c r="AE279">
        <f ca="1">IF($C279-AE$1&lt;År1,0,AD278*(1-VLOOKUP($A279,[1]Hugst!$R$5:$W$9,MATCH(ROUNDUP((AE$1)/10,0)*10,[1]Hugst!$R$4:$W$4,0))))</f>
        <v>7198.4767400174187</v>
      </c>
      <c r="AF279">
        <f ca="1">IF($C279-AF$1&lt;År1,0,AE278*(1-VLOOKUP($A279,[1]Hugst!$R$5:$W$9,MATCH(ROUNDUP((AF$1)/10,0)*10,[1]Hugst!$R$4:$W$4,0))))</f>
        <v>7204.9053069562442</v>
      </c>
      <c r="AG279">
        <f ca="1">IF($C279-AG$1&lt;År1,0,AF278*(1-VLOOKUP($A279,[1]Hugst!$R$5:$W$9,MATCH(ROUNDUP((AG$1)/10,0)*10,[1]Hugst!$R$4:$W$4,0))))</f>
        <v>7211.3661782515483</v>
      </c>
      <c r="AH279">
        <f ca="1">IF($C279-AH$1&lt;År1,0,AG278*(1-VLOOKUP($A279,[1]Hugst!$R$5:$W$9,MATCH(ROUNDUP((AH$1)/10,0)*10,[1]Hugst!$R$4:$W$4,0))))</f>
        <v>7217.8595162367346</v>
      </c>
      <c r="AI279">
        <f ca="1">IF($C279-AI$1&lt;År1,0,AH278*(1-VLOOKUP($A279,[1]Hugst!$R$5:$W$9,MATCH(ROUNDUP((AI$1)/10,0)*10,[1]Hugst!$R$4:$W$4,0))))</f>
        <v>7224.3854840611129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1122.9679106022595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4378.5234661578161</v>
      </c>
      <c r="G280">
        <f ca="1">IF($C280-G$1&lt;År1,0,F279*(1-VLOOKUP($A280,[1]Hugst!$R$5:$W$9,MATCH(ROUNDUP((G$1)/10,0)*10,[1]Hugst!$R$4:$W$4,0))))</f>
        <v>4384.1665209849398</v>
      </c>
      <c r="H280">
        <f ca="1">IF($C280-H$1&lt;År1,0,G279*(1-VLOOKUP($A280,[1]Hugst!$R$5:$W$9,MATCH(ROUNDUP((H$1)/10,0)*10,[1]Hugst!$R$4:$W$4,0))))</f>
        <v>4389.8379328715255</v>
      </c>
      <c r="I280">
        <f ca="1">IF($C280-I$1&lt;År1,0,H279*(1-VLOOKUP($A280,[1]Hugst!$R$5:$W$9,MATCH(ROUNDUP((I$1)/10,0)*10,[1]Hugst!$R$4:$W$4,0))))</f>
        <v>4395.5378443152822</v>
      </c>
      <c r="J280">
        <f ca="1">IF($C280-J$1&lt;År1,0,I279*(1-VLOOKUP($A280,[1]Hugst!$R$5:$W$9,MATCH(ROUNDUP((J$1)/10,0)*10,[1]Hugst!$R$4:$W$4,0))))</f>
        <v>4401.2663985302261</v>
      </c>
      <c r="K280">
        <f ca="1">IF($C280-K$1&lt;År1,0,J279*(1-VLOOKUP($A280,[1]Hugst!$R$5:$W$9,MATCH(ROUNDUP((K$1)/10,0)*10,[1]Hugst!$R$4:$W$4,0))))</f>
        <v>4407.0237394496635</v>
      </c>
      <c r="L280">
        <f ca="1">IF($C280-L$1&lt;År1,0,K279*(1-VLOOKUP($A280,[1]Hugst!$R$5:$W$9,MATCH(ROUNDUP((L$1)/10,0)*10,[1]Hugst!$R$4:$W$4,0))))</f>
        <v>4412.8100117305348</v>
      </c>
      <c r="M280">
        <f ca="1">IF($C280-M$1&lt;År1,0,L279*(1-VLOOKUP($A280,[1]Hugst!$R$5:$W$9,MATCH(ROUNDUP((M$1)/10,0)*10,[1]Hugst!$R$4:$W$4,0))))</f>
        <v>4418.6253607565359</v>
      </c>
      <c r="N280">
        <f ca="1">IF($C280-N$1&lt;År1,0,M279*(1-VLOOKUP($A280,[1]Hugst!$R$5:$W$9,MATCH(ROUNDUP((N$1)/10,0)*10,[1]Hugst!$R$4:$W$4,0))))</f>
        <v>4424.4699326419777</v>
      </c>
      <c r="O280">
        <f ca="1">IF($C280-O$1&lt;År1,0,N279*(1-VLOOKUP($A280,[1]Hugst!$R$5:$W$9,MATCH(ROUNDUP((O$1)/10,0)*10,[1]Hugst!$R$4:$W$4,0))))</f>
        <v>4430.3438742353992</v>
      </c>
      <c r="P280">
        <f ca="1">IF($C280-P$1&lt;År1,0,O279*(1-VLOOKUP($A280,[1]Hugst!$R$5:$W$9,MATCH(ROUNDUP((P$1)/10,0)*10,[1]Hugst!$R$4:$W$4,0))))</f>
        <v>4436.2473331232159</v>
      </c>
      <c r="Q280">
        <f ca="1">IF($C280-Q$1&lt;År1,0,P279*(1-VLOOKUP($A280,[1]Hugst!$R$5:$W$9,MATCH(ROUNDUP((Q$1)/10,0)*10,[1]Hugst!$R$4:$W$4,0))))</f>
        <v>4442.1804576335762</v>
      </c>
      <c r="R280">
        <f ca="1">IF($C280-R$1&lt;År1,0,Q279*(1-VLOOKUP($A280,[1]Hugst!$R$5:$W$9,MATCH(ROUNDUP((R$1)/10,0)*10,[1]Hugst!$R$4:$W$4,0))))</f>
        <v>4448.1433968400652</v>
      </c>
      <c r="S280">
        <f ca="1">IF($C280-S$1&lt;År1,0,R279*(1-VLOOKUP($A280,[1]Hugst!$R$5:$W$9,MATCH(ROUNDUP((S$1)/10,0)*10,[1]Hugst!$R$4:$W$4,0))))</f>
        <v>4454.1363005650765</v>
      </c>
      <c r="T280">
        <f ca="1">IF($C280-T$1&lt;År1,0,S279*(1-VLOOKUP($A280,[1]Hugst!$R$5:$W$9,MATCH(ROUNDUP((T$1)/10,0)*10,[1]Hugst!$R$4:$W$4,0))))</f>
        <v>4460.1593193842291</v>
      </c>
      <c r="U280">
        <f ca="1">IF($C280-U$1&lt;År1,0,T279*(1-VLOOKUP($A280,[1]Hugst!$R$5:$W$9,MATCH(ROUNDUP((U$1)/10,0)*10,[1]Hugst!$R$4:$W$4,0))))</f>
        <v>4466.2126046296016</v>
      </c>
      <c r="V280">
        <f ca="1">IF($C280-V$1&lt;År1,0,U279*(1-VLOOKUP($A280,[1]Hugst!$R$5:$W$9,MATCH(ROUNDUP((V$1)/10,0)*10,[1]Hugst!$R$4:$W$4,0))))</f>
        <v>4472.2963083937702</v>
      </c>
      <c r="W280">
        <f ca="1">IF($C280-W$1&lt;År1,0,V279*(1-VLOOKUP($A280,[1]Hugst!$R$5:$W$9,MATCH(ROUNDUP((W$1)/10,0)*10,[1]Hugst!$R$4:$W$4,0))))</f>
        <v>4478.4105835336577</v>
      </c>
      <c r="X280">
        <f ca="1">IF($C280-X$1&lt;År1,0,W279*(1-VLOOKUP($A280,[1]Hugst!$R$5:$W$9,MATCH(ROUNDUP((X$1)/10,0)*10,[1]Hugst!$R$4:$W$4,0))))</f>
        <v>4484.5555836742806</v>
      </c>
      <c r="Y280">
        <f ca="1">IF($C280-Y$1&lt;År1,0,X279*(1-VLOOKUP($A280,[1]Hugst!$R$5:$W$9,MATCH(ROUNDUP((Y$1)/10,0)*10,[1]Hugst!$R$4:$W$4,0))))</f>
        <v>4490.7314632125017</v>
      </c>
      <c r="Z280">
        <f ca="1">IF($C280-Z$1&lt;År1,0,Y279*(1-VLOOKUP($A280,[1]Hugst!$R$5:$W$9,MATCH(ROUNDUP((Z$1)/10,0)*10,[1]Hugst!$R$4:$W$4,0))))</f>
        <v>7160.5747409577725</v>
      </c>
      <c r="AA280">
        <f ca="1">IF($C280-AA$1&lt;År1,0,Z279*(1-VLOOKUP($A280,[1]Hugst!$R$5:$W$9,MATCH(ROUNDUP((AA$1)/10,0)*10,[1]Hugst!$R$4:$W$4,0))))</f>
        <v>7166.8128455897004</v>
      </c>
      <c r="AB280">
        <f ca="1">IF($C280-AB$1&lt;År1,0,AA279*(1-VLOOKUP($A280,[1]Hugst!$R$5:$W$9,MATCH(ROUNDUP((AB$1)/10,0)*10,[1]Hugst!$R$4:$W$4,0))))</f>
        <v>7173.0822974812017</v>
      </c>
      <c r="AC280">
        <f ca="1">IF($C280-AC$1&lt;År1,0,AB279*(1-VLOOKUP($A280,[1]Hugst!$R$5:$W$9,MATCH(ROUNDUP((AC$1)/10,0)*10,[1]Hugst!$R$4:$W$4,0))))</f>
        <v>7179.3832541560078</v>
      </c>
      <c r="AD280">
        <f ca="1">IF($C280-AD$1&lt;År1,0,AC279*(1-VLOOKUP($A280,[1]Hugst!$R$5:$W$9,MATCH(ROUNDUP((AD$1)/10,0)*10,[1]Hugst!$R$4:$W$4,0))))</f>
        <v>7185.7158739296856</v>
      </c>
      <c r="AE280">
        <f ca="1">IF($C280-AE$1&lt;År1,0,AD279*(1-VLOOKUP($A280,[1]Hugst!$R$5:$W$9,MATCH(ROUNDUP((AE$1)/10,0)*10,[1]Hugst!$R$4:$W$4,0))))</f>
        <v>7192.0803159132847</v>
      </c>
      <c r="AF280">
        <f ca="1">IF($C280-AF$1&lt;År1,0,AE279*(1-VLOOKUP($A280,[1]Hugst!$R$5:$W$9,MATCH(ROUNDUP((AF$1)/10,0)*10,[1]Hugst!$R$4:$W$4,0))))</f>
        <v>7198.4767400174187</v>
      </c>
      <c r="AG280">
        <f ca="1">IF($C280-AG$1&lt;År1,0,AF279*(1-VLOOKUP($A280,[1]Hugst!$R$5:$W$9,MATCH(ROUNDUP((AG$1)/10,0)*10,[1]Hugst!$R$4:$W$4,0))))</f>
        <v>7204.9053069562442</v>
      </c>
      <c r="AH280">
        <f ca="1">IF($C280-AH$1&lt;År1,0,AG279*(1-VLOOKUP($A280,[1]Hugst!$R$5:$W$9,MATCH(ROUNDUP((AH$1)/10,0)*10,[1]Hugst!$R$4:$W$4,0))))</f>
        <v>7211.3661782515483</v>
      </c>
      <c r="AI280">
        <f ca="1">IF($C280-AI$1&lt;År1,0,AH279*(1-VLOOKUP($A280,[1]Hugst!$R$5:$W$9,MATCH(ROUNDUP((AI$1)/10,0)*10,[1]Hugst!$R$4:$W$4,0))))</f>
        <v>7217.8595162367346</v>
      </c>
      <c r="AJ280">
        <f ca="1">IF($C280-AJ$1&lt;År1,0,AI279*(1-VLOOKUP($A280,[1]Hugst!$R$5:$W$9,MATCH(ROUNDUP((AJ$1)/10,0)*10,[1]Hugst!$R$4:$W$4,0))))</f>
        <v>7224.3854840611129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382.03643513080607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1281.0263341207046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380.12625295515164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1279.1161519450502</v>
      </c>
      <c r="G282">
        <f ca="1">IF($C282-G$1&lt;År1,0,F281*(1-VLOOKUP($A282,[1]Hugst!$R$5:$W$9,MATCH(ROUNDUP((G$1)/10,0)*10,[1]Hugst!$R$4:$W$4,0))))</f>
        <v>1281.0263341207046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378.22562169037712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1277.2155206802759</v>
      </c>
      <c r="G283">
        <f ca="1">IF($C283-G$1&lt;År1,0,F282*(1-VLOOKUP($A283,[1]Hugst!$R$5:$W$9,MATCH(ROUNDUP((G$1)/10,0)*10,[1]Hugst!$R$4:$W$4,0))))</f>
        <v>1279.1161519450502</v>
      </c>
      <c r="H283">
        <f ca="1">IF($C283-H$1&lt;År1,0,G282*(1-VLOOKUP($A283,[1]Hugst!$R$5:$W$9,MATCH(ROUNDUP((H$1)/10,0)*10,[1]Hugst!$R$4:$W$4,0))))</f>
        <v>1281.0263341207046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376.33449358191569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1275.3243925718143</v>
      </c>
      <c r="G284">
        <f ca="1">IF($C284-G$1&lt;År1,0,F283*(1-VLOOKUP($A284,[1]Hugst!$R$5:$W$9,MATCH(ROUNDUP((G$1)/10,0)*10,[1]Hugst!$R$4:$W$4,0))))</f>
        <v>1277.2155206802759</v>
      </c>
      <c r="H284">
        <f ca="1">IF($C284-H$1&lt;År1,0,G283*(1-VLOOKUP($A284,[1]Hugst!$R$5:$W$9,MATCH(ROUNDUP((H$1)/10,0)*10,[1]Hugst!$R$4:$W$4,0))))</f>
        <v>1279.1161519450502</v>
      </c>
      <c r="I284">
        <f ca="1">IF($C284-I$1&lt;År1,0,H283*(1-VLOOKUP($A284,[1]Hugst!$R$5:$W$9,MATCH(ROUNDUP((I$1)/10,0)*10,[1]Hugst!$R$4:$W$4,0))))</f>
        <v>1281.0263341207046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374.45282111401593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1273.4427201039146</v>
      </c>
      <c r="G285">
        <f ca="1">IF($C285-G$1&lt;År1,0,F284*(1-VLOOKUP($A285,[1]Hugst!$R$5:$W$9,MATCH(ROUNDUP((G$1)/10,0)*10,[1]Hugst!$R$4:$W$4,0))))</f>
        <v>1275.3243925718143</v>
      </c>
      <c r="H285">
        <f ca="1">IF($C285-H$1&lt;År1,0,G284*(1-VLOOKUP($A285,[1]Hugst!$R$5:$W$9,MATCH(ROUNDUP((H$1)/10,0)*10,[1]Hugst!$R$4:$W$4,0))))</f>
        <v>1277.2155206802759</v>
      </c>
      <c r="I285">
        <f ca="1">IF($C285-I$1&lt;År1,0,H284*(1-VLOOKUP($A285,[1]Hugst!$R$5:$W$9,MATCH(ROUNDUP((I$1)/10,0)*10,[1]Hugst!$R$4:$W$4,0))))</f>
        <v>1279.1161519450502</v>
      </c>
      <c r="J285">
        <f ca="1">IF($C285-J$1&lt;År1,0,I284*(1-VLOOKUP($A285,[1]Hugst!$R$5:$W$9,MATCH(ROUNDUP((J$1)/10,0)*10,[1]Hugst!$R$4:$W$4,0))))</f>
        <v>1281.0263341207046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372.58055700843988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1271.5704559983385</v>
      </c>
      <c r="G286">
        <f ca="1">IF($C286-G$1&lt;År1,0,F285*(1-VLOOKUP($A286,[1]Hugst!$R$5:$W$9,MATCH(ROUNDUP((G$1)/10,0)*10,[1]Hugst!$R$4:$W$4,0))))</f>
        <v>1273.4427201039146</v>
      </c>
      <c r="H286">
        <f ca="1">IF($C286-H$1&lt;År1,0,G285*(1-VLOOKUP($A286,[1]Hugst!$R$5:$W$9,MATCH(ROUNDUP((H$1)/10,0)*10,[1]Hugst!$R$4:$W$4,0))))</f>
        <v>1275.3243925718143</v>
      </c>
      <c r="I286">
        <f ca="1">IF($C286-I$1&lt;År1,0,H285*(1-VLOOKUP($A286,[1]Hugst!$R$5:$W$9,MATCH(ROUNDUP((I$1)/10,0)*10,[1]Hugst!$R$4:$W$4,0))))</f>
        <v>1277.2155206802759</v>
      </c>
      <c r="J286">
        <f ca="1">IF($C286-J$1&lt;År1,0,I285*(1-VLOOKUP($A286,[1]Hugst!$R$5:$W$9,MATCH(ROUNDUP((J$1)/10,0)*10,[1]Hugst!$R$4:$W$4,0))))</f>
        <v>1279.1161519450502</v>
      </c>
      <c r="K286">
        <f ca="1">IF($C286-K$1&lt;År1,0,J285*(1-VLOOKUP($A286,[1]Hugst!$R$5:$W$9,MATCH(ROUNDUP((K$1)/10,0)*10,[1]Hugst!$R$4:$W$4,0))))</f>
        <v>1281.0263341207046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370.71765422341423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1269.7075532133128</v>
      </c>
      <c r="G287">
        <f ca="1">IF($C287-G$1&lt;År1,0,F286*(1-VLOOKUP($A287,[1]Hugst!$R$5:$W$9,MATCH(ROUNDUP((G$1)/10,0)*10,[1]Hugst!$R$4:$W$4,0))))</f>
        <v>1271.5704559983385</v>
      </c>
      <c r="H287">
        <f ca="1">IF($C287-H$1&lt;År1,0,G286*(1-VLOOKUP($A287,[1]Hugst!$R$5:$W$9,MATCH(ROUNDUP((H$1)/10,0)*10,[1]Hugst!$R$4:$W$4,0))))</f>
        <v>1273.4427201039146</v>
      </c>
      <c r="I287">
        <f ca="1">IF($C287-I$1&lt;År1,0,H286*(1-VLOOKUP($A287,[1]Hugst!$R$5:$W$9,MATCH(ROUNDUP((I$1)/10,0)*10,[1]Hugst!$R$4:$W$4,0))))</f>
        <v>1275.3243925718143</v>
      </c>
      <c r="J287">
        <f ca="1">IF($C287-J$1&lt;År1,0,I286*(1-VLOOKUP($A287,[1]Hugst!$R$5:$W$9,MATCH(ROUNDUP((J$1)/10,0)*10,[1]Hugst!$R$4:$W$4,0))))</f>
        <v>1277.2155206802759</v>
      </c>
      <c r="K287">
        <f ca="1">IF($C287-K$1&lt;År1,0,J286*(1-VLOOKUP($A287,[1]Hugst!$R$5:$W$9,MATCH(ROUNDUP((K$1)/10,0)*10,[1]Hugst!$R$4:$W$4,0))))</f>
        <v>1279.1161519450502</v>
      </c>
      <c r="L287">
        <f ca="1">IF($C287-L$1&lt;År1,0,K286*(1-VLOOKUP($A287,[1]Hugst!$R$5:$W$9,MATCH(ROUNDUP((L$1)/10,0)*10,[1]Hugst!$R$4:$W$4,0))))</f>
        <v>1281.0263341207046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368.86406595227891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1267.8539649421775</v>
      </c>
      <c r="G288">
        <f ca="1">IF($C288-G$1&lt;År1,0,F287*(1-VLOOKUP($A288,[1]Hugst!$R$5:$W$9,MATCH(ROUNDUP((G$1)/10,0)*10,[1]Hugst!$R$4:$W$4,0))))</f>
        <v>1269.7075532133128</v>
      </c>
      <c r="H288">
        <f ca="1">IF($C288-H$1&lt;År1,0,G287*(1-VLOOKUP($A288,[1]Hugst!$R$5:$W$9,MATCH(ROUNDUP((H$1)/10,0)*10,[1]Hugst!$R$4:$W$4,0))))</f>
        <v>1271.5704559983385</v>
      </c>
      <c r="I288">
        <f ca="1">IF($C288-I$1&lt;År1,0,H287*(1-VLOOKUP($A288,[1]Hugst!$R$5:$W$9,MATCH(ROUNDUP((I$1)/10,0)*10,[1]Hugst!$R$4:$W$4,0))))</f>
        <v>1273.4427201039146</v>
      </c>
      <c r="J288">
        <f ca="1">IF($C288-J$1&lt;År1,0,I287*(1-VLOOKUP($A288,[1]Hugst!$R$5:$W$9,MATCH(ROUNDUP((J$1)/10,0)*10,[1]Hugst!$R$4:$W$4,0))))</f>
        <v>1275.3243925718143</v>
      </c>
      <c r="K288">
        <f ca="1">IF($C288-K$1&lt;År1,0,J287*(1-VLOOKUP($A288,[1]Hugst!$R$5:$W$9,MATCH(ROUNDUP((K$1)/10,0)*10,[1]Hugst!$R$4:$W$4,0))))</f>
        <v>1277.2155206802759</v>
      </c>
      <c r="L288">
        <f ca="1">IF($C288-L$1&lt;År1,0,K287*(1-VLOOKUP($A288,[1]Hugst!$R$5:$W$9,MATCH(ROUNDUP((L$1)/10,0)*10,[1]Hugst!$R$4:$W$4,0))))</f>
        <v>1279.1161519450502</v>
      </c>
      <c r="M288">
        <f ca="1">IF($C288-M$1&lt;År1,0,L287*(1-VLOOKUP($A288,[1]Hugst!$R$5:$W$9,MATCH(ROUNDUP((M$1)/10,0)*10,[1]Hugst!$R$4:$W$4,0))))</f>
        <v>1281.0263341207046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367.01974562252553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1266.0096446124242</v>
      </c>
      <c r="G289">
        <f ca="1">IF($C289-G$1&lt;År1,0,F288*(1-VLOOKUP($A289,[1]Hugst!$R$5:$W$9,MATCH(ROUNDUP((G$1)/10,0)*10,[1]Hugst!$R$4:$W$4,0))))</f>
        <v>1267.8539649421775</v>
      </c>
      <c r="H289">
        <f ca="1">IF($C289-H$1&lt;År1,0,G288*(1-VLOOKUP($A289,[1]Hugst!$R$5:$W$9,MATCH(ROUNDUP((H$1)/10,0)*10,[1]Hugst!$R$4:$W$4,0))))</f>
        <v>1269.7075532133128</v>
      </c>
      <c r="I289">
        <f ca="1">IF($C289-I$1&lt;År1,0,H288*(1-VLOOKUP($A289,[1]Hugst!$R$5:$W$9,MATCH(ROUNDUP((I$1)/10,0)*10,[1]Hugst!$R$4:$W$4,0))))</f>
        <v>1271.5704559983385</v>
      </c>
      <c r="J289">
        <f ca="1">IF($C289-J$1&lt;År1,0,I288*(1-VLOOKUP($A289,[1]Hugst!$R$5:$W$9,MATCH(ROUNDUP((J$1)/10,0)*10,[1]Hugst!$R$4:$W$4,0))))</f>
        <v>1273.4427201039146</v>
      </c>
      <c r="K289">
        <f ca="1">IF($C289-K$1&lt;År1,0,J288*(1-VLOOKUP($A289,[1]Hugst!$R$5:$W$9,MATCH(ROUNDUP((K$1)/10,0)*10,[1]Hugst!$R$4:$W$4,0))))</f>
        <v>1275.3243925718143</v>
      </c>
      <c r="L289">
        <f ca="1">IF($C289-L$1&lt;År1,0,K288*(1-VLOOKUP($A289,[1]Hugst!$R$5:$W$9,MATCH(ROUNDUP((L$1)/10,0)*10,[1]Hugst!$R$4:$W$4,0))))</f>
        <v>1277.2155206802759</v>
      </c>
      <c r="M289">
        <f ca="1">IF($C289-M$1&lt;År1,0,L288*(1-VLOOKUP($A289,[1]Hugst!$R$5:$W$9,MATCH(ROUNDUP((M$1)/10,0)*10,[1]Hugst!$R$4:$W$4,0))))</f>
        <v>1279.1161519450502</v>
      </c>
      <c r="N289">
        <f ca="1">IF($C289-N$1&lt;År1,0,M288*(1-VLOOKUP($A289,[1]Hugst!$R$5:$W$9,MATCH(ROUNDUP((N$1)/10,0)*10,[1]Hugst!$R$4:$W$4,0))))</f>
        <v>1281.0263341207046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365.18464689441043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1264.1745458843091</v>
      </c>
      <c r="G290">
        <f ca="1">IF($C290-G$1&lt;År1,0,F289*(1-VLOOKUP($A290,[1]Hugst!$R$5:$W$9,MATCH(ROUNDUP((G$1)/10,0)*10,[1]Hugst!$R$4:$W$4,0))))</f>
        <v>1266.0096446124242</v>
      </c>
      <c r="H290">
        <f ca="1">IF($C290-H$1&lt;År1,0,G289*(1-VLOOKUP($A290,[1]Hugst!$R$5:$W$9,MATCH(ROUNDUP((H$1)/10,0)*10,[1]Hugst!$R$4:$W$4,0))))</f>
        <v>1267.8539649421775</v>
      </c>
      <c r="I290">
        <f ca="1">IF($C290-I$1&lt;År1,0,H289*(1-VLOOKUP($A290,[1]Hugst!$R$5:$W$9,MATCH(ROUNDUP((I$1)/10,0)*10,[1]Hugst!$R$4:$W$4,0))))</f>
        <v>1269.7075532133128</v>
      </c>
      <c r="J290">
        <f ca="1">IF($C290-J$1&lt;År1,0,I289*(1-VLOOKUP($A290,[1]Hugst!$R$5:$W$9,MATCH(ROUNDUP((J$1)/10,0)*10,[1]Hugst!$R$4:$W$4,0))))</f>
        <v>1271.5704559983385</v>
      </c>
      <c r="K290">
        <f ca="1">IF($C290-K$1&lt;År1,0,J289*(1-VLOOKUP($A290,[1]Hugst!$R$5:$W$9,MATCH(ROUNDUP((K$1)/10,0)*10,[1]Hugst!$R$4:$W$4,0))))</f>
        <v>1273.4427201039146</v>
      </c>
      <c r="L290">
        <f ca="1">IF($C290-L$1&lt;År1,0,K289*(1-VLOOKUP($A290,[1]Hugst!$R$5:$W$9,MATCH(ROUNDUP((L$1)/10,0)*10,[1]Hugst!$R$4:$W$4,0))))</f>
        <v>1275.3243925718143</v>
      </c>
      <c r="M290">
        <f ca="1">IF($C290-M$1&lt;År1,0,L289*(1-VLOOKUP($A290,[1]Hugst!$R$5:$W$9,MATCH(ROUNDUP((M$1)/10,0)*10,[1]Hugst!$R$4:$W$4,0))))</f>
        <v>1277.2155206802759</v>
      </c>
      <c r="N290">
        <f ca="1">IF($C290-N$1&lt;År1,0,M289*(1-VLOOKUP($A290,[1]Hugst!$R$5:$W$9,MATCH(ROUNDUP((N$1)/10,0)*10,[1]Hugst!$R$4:$W$4,0))))</f>
        <v>1279.1161519450502</v>
      </c>
      <c r="O290">
        <f ca="1">IF($C290-O$1&lt;År1,0,N289*(1-VLOOKUP($A290,[1]Hugst!$R$5:$W$9,MATCH(ROUNDUP((O$1)/10,0)*10,[1]Hugst!$R$4:$W$4,0))))</f>
        <v>1281.0263341207046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363.35872365994737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1262.348622649846</v>
      </c>
      <c r="G291">
        <f ca="1">IF($C291-G$1&lt;År1,0,F290*(1-VLOOKUP($A291,[1]Hugst!$R$5:$W$9,MATCH(ROUNDUP((G$1)/10,0)*10,[1]Hugst!$R$4:$W$4,0))))</f>
        <v>1264.1745458843091</v>
      </c>
      <c r="H291">
        <f ca="1">IF($C291-H$1&lt;År1,0,G290*(1-VLOOKUP($A291,[1]Hugst!$R$5:$W$9,MATCH(ROUNDUP((H$1)/10,0)*10,[1]Hugst!$R$4:$W$4,0))))</f>
        <v>1266.0096446124242</v>
      </c>
      <c r="I291">
        <f ca="1">IF($C291-I$1&lt;År1,0,H290*(1-VLOOKUP($A291,[1]Hugst!$R$5:$W$9,MATCH(ROUNDUP((I$1)/10,0)*10,[1]Hugst!$R$4:$W$4,0))))</f>
        <v>1267.8539649421775</v>
      </c>
      <c r="J291">
        <f ca="1">IF($C291-J$1&lt;År1,0,I290*(1-VLOOKUP($A291,[1]Hugst!$R$5:$W$9,MATCH(ROUNDUP((J$1)/10,0)*10,[1]Hugst!$R$4:$W$4,0))))</f>
        <v>1269.7075532133128</v>
      </c>
      <c r="K291">
        <f ca="1">IF($C291-K$1&lt;År1,0,J290*(1-VLOOKUP($A291,[1]Hugst!$R$5:$W$9,MATCH(ROUNDUP((K$1)/10,0)*10,[1]Hugst!$R$4:$W$4,0))))</f>
        <v>1271.5704559983385</v>
      </c>
      <c r="L291">
        <f ca="1">IF($C291-L$1&lt;År1,0,K290*(1-VLOOKUP($A291,[1]Hugst!$R$5:$W$9,MATCH(ROUNDUP((L$1)/10,0)*10,[1]Hugst!$R$4:$W$4,0))))</f>
        <v>1273.4427201039146</v>
      </c>
      <c r="M291">
        <f ca="1">IF($C291-M$1&lt;År1,0,L290*(1-VLOOKUP($A291,[1]Hugst!$R$5:$W$9,MATCH(ROUNDUP((M$1)/10,0)*10,[1]Hugst!$R$4:$W$4,0))))</f>
        <v>1275.3243925718143</v>
      </c>
      <c r="N291">
        <f ca="1">IF($C291-N$1&lt;År1,0,M290*(1-VLOOKUP($A291,[1]Hugst!$R$5:$W$9,MATCH(ROUNDUP((N$1)/10,0)*10,[1]Hugst!$R$4:$W$4,0))))</f>
        <v>1277.2155206802759</v>
      </c>
      <c r="O291">
        <f ca="1">IF($C291-O$1&lt;År1,0,N290*(1-VLOOKUP($A291,[1]Hugst!$R$5:$W$9,MATCH(ROUNDUP((O$1)/10,0)*10,[1]Hugst!$R$4:$W$4,0))))</f>
        <v>1279.1161519450502</v>
      </c>
      <c r="P291">
        <f ca="1">IF($C291-P$1&lt;År1,0,O290*(1-VLOOKUP($A291,[1]Hugst!$R$5:$W$9,MATCH(ROUNDUP((P$1)/10,0)*10,[1]Hugst!$R$4:$W$4,0))))</f>
        <v>1281.0263341207046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361.54193004162789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855.98637448607258</v>
      </c>
      <c r="G292">
        <f ca="1">IF($C292-G$1&lt;År1,0,F291*(1-VLOOKUP($A292,[1]Hugst!$R$5:$W$9,MATCH(ROUNDUP((G$1)/10,0)*10,[1]Hugst!$R$4:$W$4,0))))</f>
        <v>1262.348622649846</v>
      </c>
      <c r="H292">
        <f ca="1">IF($C292-H$1&lt;År1,0,G291*(1-VLOOKUP($A292,[1]Hugst!$R$5:$W$9,MATCH(ROUNDUP((H$1)/10,0)*10,[1]Hugst!$R$4:$W$4,0))))</f>
        <v>1264.1745458843091</v>
      </c>
      <c r="I292">
        <f ca="1">IF($C292-I$1&lt;År1,0,H291*(1-VLOOKUP($A292,[1]Hugst!$R$5:$W$9,MATCH(ROUNDUP((I$1)/10,0)*10,[1]Hugst!$R$4:$W$4,0))))</f>
        <v>1266.0096446124242</v>
      </c>
      <c r="J292">
        <f ca="1">IF($C292-J$1&lt;År1,0,I291*(1-VLOOKUP($A292,[1]Hugst!$R$5:$W$9,MATCH(ROUNDUP((J$1)/10,0)*10,[1]Hugst!$R$4:$W$4,0))))</f>
        <v>1267.8539649421775</v>
      </c>
      <c r="K292">
        <f ca="1">IF($C292-K$1&lt;År1,0,J291*(1-VLOOKUP($A292,[1]Hugst!$R$5:$W$9,MATCH(ROUNDUP((K$1)/10,0)*10,[1]Hugst!$R$4:$W$4,0))))</f>
        <v>1269.7075532133128</v>
      </c>
      <c r="L292">
        <f ca="1">IF($C292-L$1&lt;År1,0,K291*(1-VLOOKUP($A292,[1]Hugst!$R$5:$W$9,MATCH(ROUNDUP((L$1)/10,0)*10,[1]Hugst!$R$4:$W$4,0))))</f>
        <v>1271.5704559983385</v>
      </c>
      <c r="M292">
        <f ca="1">IF($C292-M$1&lt;År1,0,L291*(1-VLOOKUP($A292,[1]Hugst!$R$5:$W$9,MATCH(ROUNDUP((M$1)/10,0)*10,[1]Hugst!$R$4:$W$4,0))))</f>
        <v>1273.4427201039146</v>
      </c>
      <c r="N292">
        <f ca="1">IF($C292-N$1&lt;År1,0,M291*(1-VLOOKUP($A292,[1]Hugst!$R$5:$W$9,MATCH(ROUNDUP((N$1)/10,0)*10,[1]Hugst!$R$4:$W$4,0))))</f>
        <v>1275.3243925718143</v>
      </c>
      <c r="O292">
        <f ca="1">IF($C292-O$1&lt;År1,0,N291*(1-VLOOKUP($A292,[1]Hugst!$R$5:$W$9,MATCH(ROUNDUP((O$1)/10,0)*10,[1]Hugst!$R$4:$W$4,0))))</f>
        <v>1277.2155206802759</v>
      </c>
      <c r="P292">
        <f ca="1">IF($C292-P$1&lt;År1,0,O291*(1-VLOOKUP($A292,[1]Hugst!$R$5:$W$9,MATCH(ROUNDUP((P$1)/10,0)*10,[1]Hugst!$R$4:$W$4,0))))</f>
        <v>1279.1161519450502</v>
      </c>
      <c r="Q292">
        <f ca="1">IF($C292-Q$1&lt;År1,0,P291*(1-VLOOKUP($A292,[1]Hugst!$R$5:$W$9,MATCH(ROUNDUP((Q$1)/10,0)*10,[1]Hugst!$R$4:$W$4,0))))</f>
        <v>1281.0263341207046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359.73422039143315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854.17866483587784</v>
      </c>
      <c r="G293">
        <f ca="1">IF($C293-G$1&lt;År1,0,F292*(1-VLOOKUP($A293,[1]Hugst!$R$5:$W$9,MATCH(ROUNDUP((G$1)/10,0)*10,[1]Hugst!$R$4:$W$4,0))))</f>
        <v>855.98637448607258</v>
      </c>
      <c r="H293">
        <f ca="1">IF($C293-H$1&lt;År1,0,G292*(1-VLOOKUP($A293,[1]Hugst!$R$5:$W$9,MATCH(ROUNDUP((H$1)/10,0)*10,[1]Hugst!$R$4:$W$4,0))))</f>
        <v>1262.348622649846</v>
      </c>
      <c r="I293">
        <f ca="1">IF($C293-I$1&lt;År1,0,H292*(1-VLOOKUP($A293,[1]Hugst!$R$5:$W$9,MATCH(ROUNDUP((I$1)/10,0)*10,[1]Hugst!$R$4:$W$4,0))))</f>
        <v>1264.1745458843091</v>
      </c>
      <c r="J293">
        <f ca="1">IF($C293-J$1&lt;År1,0,I292*(1-VLOOKUP($A293,[1]Hugst!$R$5:$W$9,MATCH(ROUNDUP((J$1)/10,0)*10,[1]Hugst!$R$4:$W$4,0))))</f>
        <v>1266.0096446124242</v>
      </c>
      <c r="K293">
        <f ca="1">IF($C293-K$1&lt;År1,0,J292*(1-VLOOKUP($A293,[1]Hugst!$R$5:$W$9,MATCH(ROUNDUP((K$1)/10,0)*10,[1]Hugst!$R$4:$W$4,0))))</f>
        <v>1267.8539649421775</v>
      </c>
      <c r="L293">
        <f ca="1">IF($C293-L$1&lt;År1,0,K292*(1-VLOOKUP($A293,[1]Hugst!$R$5:$W$9,MATCH(ROUNDUP((L$1)/10,0)*10,[1]Hugst!$R$4:$W$4,0))))</f>
        <v>1269.7075532133128</v>
      </c>
      <c r="M293">
        <f ca="1">IF($C293-M$1&lt;År1,0,L292*(1-VLOOKUP($A293,[1]Hugst!$R$5:$W$9,MATCH(ROUNDUP((M$1)/10,0)*10,[1]Hugst!$R$4:$W$4,0))))</f>
        <v>1271.5704559983385</v>
      </c>
      <c r="N293">
        <f ca="1">IF($C293-N$1&lt;År1,0,M292*(1-VLOOKUP($A293,[1]Hugst!$R$5:$W$9,MATCH(ROUNDUP((N$1)/10,0)*10,[1]Hugst!$R$4:$W$4,0))))</f>
        <v>1273.4427201039146</v>
      </c>
      <c r="O293">
        <f ca="1">IF($C293-O$1&lt;År1,0,N292*(1-VLOOKUP($A293,[1]Hugst!$R$5:$W$9,MATCH(ROUNDUP((O$1)/10,0)*10,[1]Hugst!$R$4:$W$4,0))))</f>
        <v>1275.3243925718143</v>
      </c>
      <c r="P293">
        <f ca="1">IF($C293-P$1&lt;År1,0,O292*(1-VLOOKUP($A293,[1]Hugst!$R$5:$W$9,MATCH(ROUNDUP((P$1)/10,0)*10,[1]Hugst!$R$4:$W$4,0))))</f>
        <v>1277.2155206802759</v>
      </c>
      <c r="Q293">
        <f ca="1">IF($C293-Q$1&lt;År1,0,P292*(1-VLOOKUP($A293,[1]Hugst!$R$5:$W$9,MATCH(ROUNDUP((Q$1)/10,0)*10,[1]Hugst!$R$4:$W$4,0))))</f>
        <v>1279.1161519450502</v>
      </c>
      <c r="R293">
        <f ca="1">IF($C293-R$1&lt;År1,0,Q292*(1-VLOOKUP($A293,[1]Hugst!$R$5:$W$9,MATCH(ROUNDUP((R$1)/10,0)*10,[1]Hugst!$R$4:$W$4,0))))</f>
        <v>1281.0263341207046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357.93554928947106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852.37999373391574</v>
      </c>
      <c r="G294">
        <f ca="1">IF($C294-G$1&lt;År1,0,F293*(1-VLOOKUP($A294,[1]Hugst!$R$5:$W$9,MATCH(ROUNDUP((G$1)/10,0)*10,[1]Hugst!$R$4:$W$4,0))))</f>
        <v>854.17866483587784</v>
      </c>
      <c r="H294">
        <f ca="1">IF($C294-H$1&lt;År1,0,G293*(1-VLOOKUP($A294,[1]Hugst!$R$5:$W$9,MATCH(ROUNDUP((H$1)/10,0)*10,[1]Hugst!$R$4:$W$4,0))))</f>
        <v>855.98637448607258</v>
      </c>
      <c r="I294">
        <f ca="1">IF($C294-I$1&lt;År1,0,H293*(1-VLOOKUP($A294,[1]Hugst!$R$5:$W$9,MATCH(ROUNDUP((I$1)/10,0)*10,[1]Hugst!$R$4:$W$4,0))))</f>
        <v>1262.348622649846</v>
      </c>
      <c r="J294">
        <f ca="1">IF($C294-J$1&lt;År1,0,I293*(1-VLOOKUP($A294,[1]Hugst!$R$5:$W$9,MATCH(ROUNDUP((J$1)/10,0)*10,[1]Hugst!$R$4:$W$4,0))))</f>
        <v>1264.1745458843091</v>
      </c>
      <c r="K294">
        <f ca="1">IF($C294-K$1&lt;År1,0,J293*(1-VLOOKUP($A294,[1]Hugst!$R$5:$W$9,MATCH(ROUNDUP((K$1)/10,0)*10,[1]Hugst!$R$4:$W$4,0))))</f>
        <v>1266.0096446124242</v>
      </c>
      <c r="L294">
        <f ca="1">IF($C294-L$1&lt;År1,0,K293*(1-VLOOKUP($A294,[1]Hugst!$R$5:$W$9,MATCH(ROUNDUP((L$1)/10,0)*10,[1]Hugst!$R$4:$W$4,0))))</f>
        <v>1267.8539649421775</v>
      </c>
      <c r="M294">
        <f ca="1">IF($C294-M$1&lt;År1,0,L293*(1-VLOOKUP($A294,[1]Hugst!$R$5:$W$9,MATCH(ROUNDUP((M$1)/10,0)*10,[1]Hugst!$R$4:$W$4,0))))</f>
        <v>1269.7075532133128</v>
      </c>
      <c r="N294">
        <f ca="1">IF($C294-N$1&lt;År1,0,M293*(1-VLOOKUP($A294,[1]Hugst!$R$5:$W$9,MATCH(ROUNDUP((N$1)/10,0)*10,[1]Hugst!$R$4:$W$4,0))))</f>
        <v>1271.5704559983385</v>
      </c>
      <c r="O294">
        <f ca="1">IF($C294-O$1&lt;År1,0,N293*(1-VLOOKUP($A294,[1]Hugst!$R$5:$W$9,MATCH(ROUNDUP((O$1)/10,0)*10,[1]Hugst!$R$4:$W$4,0))))</f>
        <v>1273.4427201039146</v>
      </c>
      <c r="P294">
        <f ca="1">IF($C294-P$1&lt;År1,0,O293*(1-VLOOKUP($A294,[1]Hugst!$R$5:$W$9,MATCH(ROUNDUP((P$1)/10,0)*10,[1]Hugst!$R$4:$W$4,0))))</f>
        <v>1275.3243925718143</v>
      </c>
      <c r="Q294">
        <f ca="1">IF($C294-Q$1&lt;År1,0,P293*(1-VLOOKUP($A294,[1]Hugst!$R$5:$W$9,MATCH(ROUNDUP((Q$1)/10,0)*10,[1]Hugst!$R$4:$W$4,0))))</f>
        <v>1277.2155206802759</v>
      </c>
      <c r="R294">
        <f ca="1">IF($C294-R$1&lt;År1,0,Q293*(1-VLOOKUP($A294,[1]Hugst!$R$5:$W$9,MATCH(ROUNDUP((R$1)/10,0)*10,[1]Hugst!$R$4:$W$4,0))))</f>
        <v>1279.1161519450502</v>
      </c>
      <c r="S294">
        <f ca="1">IF($C294-S$1&lt;År1,0,R293*(1-VLOOKUP($A294,[1]Hugst!$R$5:$W$9,MATCH(ROUNDUP((S$1)/10,0)*10,[1]Hugst!$R$4:$W$4,0))))</f>
        <v>1281.0263341207046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356.14587154302626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850.59031598747094</v>
      </c>
      <c r="G295">
        <f ca="1">IF($C295-G$1&lt;År1,0,F294*(1-VLOOKUP($A295,[1]Hugst!$R$5:$W$9,MATCH(ROUNDUP((G$1)/10,0)*10,[1]Hugst!$R$4:$W$4,0))))</f>
        <v>852.37999373391574</v>
      </c>
      <c r="H295">
        <f ca="1">IF($C295-H$1&lt;År1,0,G294*(1-VLOOKUP($A295,[1]Hugst!$R$5:$W$9,MATCH(ROUNDUP((H$1)/10,0)*10,[1]Hugst!$R$4:$W$4,0))))</f>
        <v>854.17866483587784</v>
      </c>
      <c r="I295">
        <f ca="1">IF($C295-I$1&lt;År1,0,H294*(1-VLOOKUP($A295,[1]Hugst!$R$5:$W$9,MATCH(ROUNDUP((I$1)/10,0)*10,[1]Hugst!$R$4:$W$4,0))))</f>
        <v>855.98637448607258</v>
      </c>
      <c r="J295">
        <f ca="1">IF($C295-J$1&lt;År1,0,I294*(1-VLOOKUP($A295,[1]Hugst!$R$5:$W$9,MATCH(ROUNDUP((J$1)/10,0)*10,[1]Hugst!$R$4:$W$4,0))))</f>
        <v>1262.348622649846</v>
      </c>
      <c r="K295">
        <f ca="1">IF($C295-K$1&lt;År1,0,J294*(1-VLOOKUP($A295,[1]Hugst!$R$5:$W$9,MATCH(ROUNDUP((K$1)/10,0)*10,[1]Hugst!$R$4:$W$4,0))))</f>
        <v>1264.1745458843091</v>
      </c>
      <c r="L295">
        <f ca="1">IF($C295-L$1&lt;År1,0,K294*(1-VLOOKUP($A295,[1]Hugst!$R$5:$W$9,MATCH(ROUNDUP((L$1)/10,0)*10,[1]Hugst!$R$4:$W$4,0))))</f>
        <v>1266.0096446124242</v>
      </c>
      <c r="M295">
        <f ca="1">IF($C295-M$1&lt;År1,0,L294*(1-VLOOKUP($A295,[1]Hugst!$R$5:$W$9,MATCH(ROUNDUP((M$1)/10,0)*10,[1]Hugst!$R$4:$W$4,0))))</f>
        <v>1267.8539649421775</v>
      </c>
      <c r="N295">
        <f ca="1">IF($C295-N$1&lt;År1,0,M294*(1-VLOOKUP($A295,[1]Hugst!$R$5:$W$9,MATCH(ROUNDUP((N$1)/10,0)*10,[1]Hugst!$R$4:$W$4,0))))</f>
        <v>1269.7075532133128</v>
      </c>
      <c r="O295">
        <f ca="1">IF($C295-O$1&lt;År1,0,N294*(1-VLOOKUP($A295,[1]Hugst!$R$5:$W$9,MATCH(ROUNDUP((O$1)/10,0)*10,[1]Hugst!$R$4:$W$4,0))))</f>
        <v>1271.5704559983385</v>
      </c>
      <c r="P295">
        <f ca="1">IF($C295-P$1&lt;År1,0,O294*(1-VLOOKUP($A295,[1]Hugst!$R$5:$W$9,MATCH(ROUNDUP((P$1)/10,0)*10,[1]Hugst!$R$4:$W$4,0))))</f>
        <v>1273.4427201039146</v>
      </c>
      <c r="Q295">
        <f ca="1">IF($C295-Q$1&lt;År1,0,P294*(1-VLOOKUP($A295,[1]Hugst!$R$5:$W$9,MATCH(ROUNDUP((Q$1)/10,0)*10,[1]Hugst!$R$4:$W$4,0))))</f>
        <v>1275.3243925718143</v>
      </c>
      <c r="R295">
        <f ca="1">IF($C295-R$1&lt;År1,0,Q294*(1-VLOOKUP($A295,[1]Hugst!$R$5:$W$9,MATCH(ROUNDUP((R$1)/10,0)*10,[1]Hugst!$R$4:$W$4,0))))</f>
        <v>1277.2155206802759</v>
      </c>
      <c r="S295">
        <f ca="1">IF($C295-S$1&lt;År1,0,R294*(1-VLOOKUP($A295,[1]Hugst!$R$5:$W$9,MATCH(ROUNDUP((S$1)/10,0)*10,[1]Hugst!$R$4:$W$4,0))))</f>
        <v>1279.1161519450502</v>
      </c>
      <c r="T295">
        <f ca="1">IF($C295-T$1&lt;År1,0,S294*(1-VLOOKUP($A295,[1]Hugst!$R$5:$W$9,MATCH(ROUNDUP((T$1)/10,0)*10,[1]Hugst!$R$4:$W$4,0))))</f>
        <v>1281.0263341207046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354.36514218531647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848.80958662976116</v>
      </c>
      <c r="G296">
        <f ca="1">IF($C296-G$1&lt;År1,0,F295*(1-VLOOKUP($A296,[1]Hugst!$R$5:$W$9,MATCH(ROUNDUP((G$1)/10,0)*10,[1]Hugst!$R$4:$W$4,0))))</f>
        <v>850.59031598747094</v>
      </c>
      <c r="H296">
        <f ca="1">IF($C296-H$1&lt;År1,0,G295*(1-VLOOKUP($A296,[1]Hugst!$R$5:$W$9,MATCH(ROUNDUP((H$1)/10,0)*10,[1]Hugst!$R$4:$W$4,0))))</f>
        <v>852.37999373391574</v>
      </c>
      <c r="I296">
        <f ca="1">IF($C296-I$1&lt;År1,0,H295*(1-VLOOKUP($A296,[1]Hugst!$R$5:$W$9,MATCH(ROUNDUP((I$1)/10,0)*10,[1]Hugst!$R$4:$W$4,0))))</f>
        <v>854.17866483587784</v>
      </c>
      <c r="J296">
        <f ca="1">IF($C296-J$1&lt;År1,0,I295*(1-VLOOKUP($A296,[1]Hugst!$R$5:$W$9,MATCH(ROUNDUP((J$1)/10,0)*10,[1]Hugst!$R$4:$W$4,0))))</f>
        <v>855.98637448607258</v>
      </c>
      <c r="K296">
        <f ca="1">IF($C296-K$1&lt;År1,0,J295*(1-VLOOKUP($A296,[1]Hugst!$R$5:$W$9,MATCH(ROUNDUP((K$1)/10,0)*10,[1]Hugst!$R$4:$W$4,0))))</f>
        <v>1262.348622649846</v>
      </c>
      <c r="L296">
        <f ca="1">IF($C296-L$1&lt;År1,0,K295*(1-VLOOKUP($A296,[1]Hugst!$R$5:$W$9,MATCH(ROUNDUP((L$1)/10,0)*10,[1]Hugst!$R$4:$W$4,0))))</f>
        <v>1264.1745458843091</v>
      </c>
      <c r="M296">
        <f ca="1">IF($C296-M$1&lt;År1,0,L295*(1-VLOOKUP($A296,[1]Hugst!$R$5:$W$9,MATCH(ROUNDUP((M$1)/10,0)*10,[1]Hugst!$R$4:$W$4,0))))</f>
        <v>1266.0096446124242</v>
      </c>
      <c r="N296">
        <f ca="1">IF($C296-N$1&lt;År1,0,M295*(1-VLOOKUP($A296,[1]Hugst!$R$5:$W$9,MATCH(ROUNDUP((N$1)/10,0)*10,[1]Hugst!$R$4:$W$4,0))))</f>
        <v>1267.8539649421775</v>
      </c>
      <c r="O296">
        <f ca="1">IF($C296-O$1&lt;År1,0,N295*(1-VLOOKUP($A296,[1]Hugst!$R$5:$W$9,MATCH(ROUNDUP((O$1)/10,0)*10,[1]Hugst!$R$4:$W$4,0))))</f>
        <v>1269.7075532133128</v>
      </c>
      <c r="P296">
        <f ca="1">IF($C296-P$1&lt;År1,0,O295*(1-VLOOKUP($A296,[1]Hugst!$R$5:$W$9,MATCH(ROUNDUP((P$1)/10,0)*10,[1]Hugst!$R$4:$W$4,0))))</f>
        <v>1271.5704559983385</v>
      </c>
      <c r="Q296">
        <f ca="1">IF($C296-Q$1&lt;År1,0,P295*(1-VLOOKUP($A296,[1]Hugst!$R$5:$W$9,MATCH(ROUNDUP((Q$1)/10,0)*10,[1]Hugst!$R$4:$W$4,0))))</f>
        <v>1273.4427201039146</v>
      </c>
      <c r="R296">
        <f ca="1">IF($C296-R$1&lt;År1,0,Q295*(1-VLOOKUP($A296,[1]Hugst!$R$5:$W$9,MATCH(ROUNDUP((R$1)/10,0)*10,[1]Hugst!$R$4:$W$4,0))))</f>
        <v>1275.3243925718143</v>
      </c>
      <c r="S296">
        <f ca="1">IF($C296-S$1&lt;År1,0,R295*(1-VLOOKUP($A296,[1]Hugst!$R$5:$W$9,MATCH(ROUNDUP((S$1)/10,0)*10,[1]Hugst!$R$4:$W$4,0))))</f>
        <v>1277.2155206802759</v>
      </c>
      <c r="T296">
        <f ca="1">IF($C296-T$1&lt;År1,0,S295*(1-VLOOKUP($A296,[1]Hugst!$R$5:$W$9,MATCH(ROUNDUP((T$1)/10,0)*10,[1]Hugst!$R$4:$W$4,0))))</f>
        <v>1279.1161519450502</v>
      </c>
      <c r="U296">
        <f ca="1">IF($C296-U$1&lt;År1,0,T295*(1-VLOOKUP($A296,[1]Hugst!$R$5:$W$9,MATCH(ROUNDUP((U$1)/10,0)*10,[1]Hugst!$R$4:$W$4,0))))</f>
        <v>1281.0263341207046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352.59331647438194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847.03776091882662</v>
      </c>
      <c r="G297">
        <f ca="1">IF($C297-G$1&lt;År1,0,F296*(1-VLOOKUP($A297,[1]Hugst!$R$5:$W$9,MATCH(ROUNDUP((G$1)/10,0)*10,[1]Hugst!$R$4:$W$4,0))))</f>
        <v>848.80958662976116</v>
      </c>
      <c r="H297">
        <f ca="1">IF($C297-H$1&lt;År1,0,G296*(1-VLOOKUP($A297,[1]Hugst!$R$5:$W$9,MATCH(ROUNDUP((H$1)/10,0)*10,[1]Hugst!$R$4:$W$4,0))))</f>
        <v>850.59031598747094</v>
      </c>
      <c r="I297">
        <f ca="1">IF($C297-I$1&lt;År1,0,H296*(1-VLOOKUP($A297,[1]Hugst!$R$5:$W$9,MATCH(ROUNDUP((I$1)/10,0)*10,[1]Hugst!$R$4:$W$4,0))))</f>
        <v>852.37999373391574</v>
      </c>
      <c r="J297">
        <f ca="1">IF($C297-J$1&lt;År1,0,I296*(1-VLOOKUP($A297,[1]Hugst!$R$5:$W$9,MATCH(ROUNDUP((J$1)/10,0)*10,[1]Hugst!$R$4:$W$4,0))))</f>
        <v>854.17866483587784</v>
      </c>
      <c r="K297">
        <f ca="1">IF($C297-K$1&lt;År1,0,J296*(1-VLOOKUP($A297,[1]Hugst!$R$5:$W$9,MATCH(ROUNDUP((K$1)/10,0)*10,[1]Hugst!$R$4:$W$4,0))))</f>
        <v>855.98637448607258</v>
      </c>
      <c r="L297">
        <f ca="1">IF($C297-L$1&lt;År1,0,K296*(1-VLOOKUP($A297,[1]Hugst!$R$5:$W$9,MATCH(ROUNDUP((L$1)/10,0)*10,[1]Hugst!$R$4:$W$4,0))))</f>
        <v>1262.348622649846</v>
      </c>
      <c r="M297">
        <f ca="1">IF($C297-M$1&lt;År1,0,L296*(1-VLOOKUP($A297,[1]Hugst!$R$5:$W$9,MATCH(ROUNDUP((M$1)/10,0)*10,[1]Hugst!$R$4:$W$4,0))))</f>
        <v>1264.1745458843091</v>
      </c>
      <c r="N297">
        <f ca="1">IF($C297-N$1&lt;År1,0,M296*(1-VLOOKUP($A297,[1]Hugst!$R$5:$W$9,MATCH(ROUNDUP((N$1)/10,0)*10,[1]Hugst!$R$4:$W$4,0))))</f>
        <v>1266.0096446124242</v>
      </c>
      <c r="O297">
        <f ca="1">IF($C297-O$1&lt;År1,0,N296*(1-VLOOKUP($A297,[1]Hugst!$R$5:$W$9,MATCH(ROUNDUP((O$1)/10,0)*10,[1]Hugst!$R$4:$W$4,0))))</f>
        <v>1267.8539649421775</v>
      </c>
      <c r="P297">
        <f ca="1">IF($C297-P$1&lt;År1,0,O296*(1-VLOOKUP($A297,[1]Hugst!$R$5:$W$9,MATCH(ROUNDUP((P$1)/10,0)*10,[1]Hugst!$R$4:$W$4,0))))</f>
        <v>1269.7075532133128</v>
      </c>
      <c r="Q297">
        <f ca="1">IF($C297-Q$1&lt;År1,0,P296*(1-VLOOKUP($A297,[1]Hugst!$R$5:$W$9,MATCH(ROUNDUP((Q$1)/10,0)*10,[1]Hugst!$R$4:$W$4,0))))</f>
        <v>1271.5704559983385</v>
      </c>
      <c r="R297">
        <f ca="1">IF($C297-R$1&lt;År1,0,Q296*(1-VLOOKUP($A297,[1]Hugst!$R$5:$W$9,MATCH(ROUNDUP((R$1)/10,0)*10,[1]Hugst!$R$4:$W$4,0))))</f>
        <v>1273.4427201039146</v>
      </c>
      <c r="S297">
        <f ca="1">IF($C297-S$1&lt;År1,0,R296*(1-VLOOKUP($A297,[1]Hugst!$R$5:$W$9,MATCH(ROUNDUP((S$1)/10,0)*10,[1]Hugst!$R$4:$W$4,0))))</f>
        <v>1275.3243925718143</v>
      </c>
      <c r="T297">
        <f ca="1">IF($C297-T$1&lt;År1,0,S296*(1-VLOOKUP($A297,[1]Hugst!$R$5:$W$9,MATCH(ROUNDUP((T$1)/10,0)*10,[1]Hugst!$R$4:$W$4,0))))</f>
        <v>1277.2155206802759</v>
      </c>
      <c r="U297">
        <f ca="1">IF($C297-U$1&lt;År1,0,T296*(1-VLOOKUP($A297,[1]Hugst!$R$5:$W$9,MATCH(ROUNDUP((U$1)/10,0)*10,[1]Hugst!$R$4:$W$4,0))))</f>
        <v>1279.1161519450502</v>
      </c>
      <c r="V297">
        <f ca="1">IF($C297-V$1&lt;År1,0,U296*(1-VLOOKUP($A297,[1]Hugst!$R$5:$W$9,MATCH(ROUNDUP((V$1)/10,0)*10,[1]Hugst!$R$4:$W$4,0))))</f>
        <v>1281.0263341207046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350.83034989201406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845.27479433645874</v>
      </c>
      <c r="G298">
        <f ca="1">IF($C298-G$1&lt;År1,0,F297*(1-VLOOKUP($A298,[1]Hugst!$R$5:$W$9,MATCH(ROUNDUP((G$1)/10,0)*10,[1]Hugst!$R$4:$W$4,0))))</f>
        <v>847.03776091882662</v>
      </c>
      <c r="H298">
        <f ca="1">IF($C298-H$1&lt;År1,0,G297*(1-VLOOKUP($A298,[1]Hugst!$R$5:$W$9,MATCH(ROUNDUP((H$1)/10,0)*10,[1]Hugst!$R$4:$W$4,0))))</f>
        <v>848.80958662976116</v>
      </c>
      <c r="I298">
        <f ca="1">IF($C298-I$1&lt;År1,0,H297*(1-VLOOKUP($A298,[1]Hugst!$R$5:$W$9,MATCH(ROUNDUP((I$1)/10,0)*10,[1]Hugst!$R$4:$W$4,0))))</f>
        <v>850.59031598747094</v>
      </c>
      <c r="J298">
        <f ca="1">IF($C298-J$1&lt;År1,0,I297*(1-VLOOKUP($A298,[1]Hugst!$R$5:$W$9,MATCH(ROUNDUP((J$1)/10,0)*10,[1]Hugst!$R$4:$W$4,0))))</f>
        <v>852.37999373391574</v>
      </c>
      <c r="K298">
        <f ca="1">IF($C298-K$1&lt;År1,0,J297*(1-VLOOKUP($A298,[1]Hugst!$R$5:$W$9,MATCH(ROUNDUP((K$1)/10,0)*10,[1]Hugst!$R$4:$W$4,0))))</f>
        <v>854.17866483587784</v>
      </c>
      <c r="L298">
        <f ca="1">IF($C298-L$1&lt;År1,0,K297*(1-VLOOKUP($A298,[1]Hugst!$R$5:$W$9,MATCH(ROUNDUP((L$1)/10,0)*10,[1]Hugst!$R$4:$W$4,0))))</f>
        <v>855.98637448607258</v>
      </c>
      <c r="M298">
        <f ca="1">IF($C298-M$1&lt;År1,0,L297*(1-VLOOKUP($A298,[1]Hugst!$R$5:$W$9,MATCH(ROUNDUP((M$1)/10,0)*10,[1]Hugst!$R$4:$W$4,0))))</f>
        <v>1262.348622649846</v>
      </c>
      <c r="N298">
        <f ca="1">IF($C298-N$1&lt;År1,0,M297*(1-VLOOKUP($A298,[1]Hugst!$R$5:$W$9,MATCH(ROUNDUP((N$1)/10,0)*10,[1]Hugst!$R$4:$W$4,0))))</f>
        <v>1264.1745458843091</v>
      </c>
      <c r="O298">
        <f ca="1">IF($C298-O$1&lt;År1,0,N297*(1-VLOOKUP($A298,[1]Hugst!$R$5:$W$9,MATCH(ROUNDUP((O$1)/10,0)*10,[1]Hugst!$R$4:$W$4,0))))</f>
        <v>1266.0096446124242</v>
      </c>
      <c r="P298">
        <f ca="1">IF($C298-P$1&lt;År1,0,O297*(1-VLOOKUP($A298,[1]Hugst!$R$5:$W$9,MATCH(ROUNDUP((P$1)/10,0)*10,[1]Hugst!$R$4:$W$4,0))))</f>
        <v>1267.8539649421775</v>
      </c>
      <c r="Q298">
        <f ca="1">IF($C298-Q$1&lt;År1,0,P297*(1-VLOOKUP($A298,[1]Hugst!$R$5:$W$9,MATCH(ROUNDUP((Q$1)/10,0)*10,[1]Hugst!$R$4:$W$4,0))))</f>
        <v>1269.7075532133128</v>
      </c>
      <c r="R298">
        <f ca="1">IF($C298-R$1&lt;År1,0,Q297*(1-VLOOKUP($A298,[1]Hugst!$R$5:$W$9,MATCH(ROUNDUP((R$1)/10,0)*10,[1]Hugst!$R$4:$W$4,0))))</f>
        <v>1271.5704559983385</v>
      </c>
      <c r="S298">
        <f ca="1">IF($C298-S$1&lt;År1,0,R297*(1-VLOOKUP($A298,[1]Hugst!$R$5:$W$9,MATCH(ROUNDUP((S$1)/10,0)*10,[1]Hugst!$R$4:$W$4,0))))</f>
        <v>1273.4427201039146</v>
      </c>
      <c r="T298">
        <f ca="1">IF($C298-T$1&lt;År1,0,S297*(1-VLOOKUP($A298,[1]Hugst!$R$5:$W$9,MATCH(ROUNDUP((T$1)/10,0)*10,[1]Hugst!$R$4:$W$4,0))))</f>
        <v>1275.3243925718143</v>
      </c>
      <c r="U298">
        <f ca="1">IF($C298-U$1&lt;År1,0,T297*(1-VLOOKUP($A298,[1]Hugst!$R$5:$W$9,MATCH(ROUNDUP((U$1)/10,0)*10,[1]Hugst!$R$4:$W$4,0))))</f>
        <v>1277.2155206802759</v>
      </c>
      <c r="V298">
        <f ca="1">IF($C298-V$1&lt;År1,0,U297*(1-VLOOKUP($A298,[1]Hugst!$R$5:$W$9,MATCH(ROUNDUP((V$1)/10,0)*10,[1]Hugst!$R$4:$W$4,0))))</f>
        <v>1279.1161519450502</v>
      </c>
      <c r="W298">
        <f ca="1">IF($C298-W$1&lt;År1,0,V297*(1-VLOOKUP($A298,[1]Hugst!$R$5:$W$9,MATCH(ROUNDUP((W$1)/10,0)*10,[1]Hugst!$R$4:$W$4,0))))</f>
        <v>1281.0263341207046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349.07619814256032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843.520642587005</v>
      </c>
      <c r="G299">
        <f ca="1">IF($C299-G$1&lt;År1,0,F298*(1-VLOOKUP($A299,[1]Hugst!$R$5:$W$9,MATCH(ROUNDUP((G$1)/10,0)*10,[1]Hugst!$R$4:$W$4,0))))</f>
        <v>845.27479433645874</v>
      </c>
      <c r="H299">
        <f ca="1">IF($C299-H$1&lt;År1,0,G298*(1-VLOOKUP($A299,[1]Hugst!$R$5:$W$9,MATCH(ROUNDUP((H$1)/10,0)*10,[1]Hugst!$R$4:$W$4,0))))</f>
        <v>847.03776091882662</v>
      </c>
      <c r="I299">
        <f ca="1">IF($C299-I$1&lt;År1,0,H298*(1-VLOOKUP($A299,[1]Hugst!$R$5:$W$9,MATCH(ROUNDUP((I$1)/10,0)*10,[1]Hugst!$R$4:$W$4,0))))</f>
        <v>848.80958662976116</v>
      </c>
      <c r="J299">
        <f ca="1">IF($C299-J$1&lt;År1,0,I298*(1-VLOOKUP($A299,[1]Hugst!$R$5:$W$9,MATCH(ROUNDUP((J$1)/10,0)*10,[1]Hugst!$R$4:$W$4,0))))</f>
        <v>850.59031598747094</v>
      </c>
      <c r="K299">
        <f ca="1">IF($C299-K$1&lt;År1,0,J298*(1-VLOOKUP($A299,[1]Hugst!$R$5:$W$9,MATCH(ROUNDUP((K$1)/10,0)*10,[1]Hugst!$R$4:$W$4,0))))</f>
        <v>852.37999373391574</v>
      </c>
      <c r="L299">
        <f ca="1">IF($C299-L$1&lt;År1,0,K298*(1-VLOOKUP($A299,[1]Hugst!$R$5:$W$9,MATCH(ROUNDUP((L$1)/10,0)*10,[1]Hugst!$R$4:$W$4,0))))</f>
        <v>854.17866483587784</v>
      </c>
      <c r="M299">
        <f ca="1">IF($C299-M$1&lt;År1,0,L298*(1-VLOOKUP($A299,[1]Hugst!$R$5:$W$9,MATCH(ROUNDUP((M$1)/10,0)*10,[1]Hugst!$R$4:$W$4,0))))</f>
        <v>855.98637448607258</v>
      </c>
      <c r="N299">
        <f ca="1">IF($C299-N$1&lt;År1,0,M298*(1-VLOOKUP($A299,[1]Hugst!$R$5:$W$9,MATCH(ROUNDUP((N$1)/10,0)*10,[1]Hugst!$R$4:$W$4,0))))</f>
        <v>1262.348622649846</v>
      </c>
      <c r="O299">
        <f ca="1">IF($C299-O$1&lt;År1,0,N298*(1-VLOOKUP($A299,[1]Hugst!$R$5:$W$9,MATCH(ROUNDUP((O$1)/10,0)*10,[1]Hugst!$R$4:$W$4,0))))</f>
        <v>1264.1745458843091</v>
      </c>
      <c r="P299">
        <f ca="1">IF($C299-P$1&lt;År1,0,O298*(1-VLOOKUP($A299,[1]Hugst!$R$5:$W$9,MATCH(ROUNDUP((P$1)/10,0)*10,[1]Hugst!$R$4:$W$4,0))))</f>
        <v>1266.0096446124242</v>
      </c>
      <c r="Q299">
        <f ca="1">IF($C299-Q$1&lt;År1,0,P298*(1-VLOOKUP($A299,[1]Hugst!$R$5:$W$9,MATCH(ROUNDUP((Q$1)/10,0)*10,[1]Hugst!$R$4:$W$4,0))))</f>
        <v>1267.8539649421775</v>
      </c>
      <c r="R299">
        <f ca="1">IF($C299-R$1&lt;År1,0,Q298*(1-VLOOKUP($A299,[1]Hugst!$R$5:$W$9,MATCH(ROUNDUP((R$1)/10,0)*10,[1]Hugst!$R$4:$W$4,0))))</f>
        <v>1269.7075532133128</v>
      </c>
      <c r="S299">
        <f ca="1">IF($C299-S$1&lt;År1,0,R298*(1-VLOOKUP($A299,[1]Hugst!$R$5:$W$9,MATCH(ROUNDUP((S$1)/10,0)*10,[1]Hugst!$R$4:$W$4,0))))</f>
        <v>1271.5704559983385</v>
      </c>
      <c r="T299">
        <f ca="1">IF($C299-T$1&lt;År1,0,S298*(1-VLOOKUP($A299,[1]Hugst!$R$5:$W$9,MATCH(ROUNDUP((T$1)/10,0)*10,[1]Hugst!$R$4:$W$4,0))))</f>
        <v>1273.4427201039146</v>
      </c>
      <c r="U299">
        <f ca="1">IF($C299-U$1&lt;År1,0,T298*(1-VLOOKUP($A299,[1]Hugst!$R$5:$W$9,MATCH(ROUNDUP((U$1)/10,0)*10,[1]Hugst!$R$4:$W$4,0))))</f>
        <v>1275.3243925718143</v>
      </c>
      <c r="V299">
        <f ca="1">IF($C299-V$1&lt;År1,0,U298*(1-VLOOKUP($A299,[1]Hugst!$R$5:$W$9,MATCH(ROUNDUP((V$1)/10,0)*10,[1]Hugst!$R$4:$W$4,0))))</f>
        <v>1277.2155206802759</v>
      </c>
      <c r="W299">
        <f ca="1">IF($C299-W$1&lt;År1,0,V298*(1-VLOOKUP($A299,[1]Hugst!$R$5:$W$9,MATCH(ROUNDUP((W$1)/10,0)*10,[1]Hugst!$R$4:$W$4,0))))</f>
        <v>1279.1161519450502</v>
      </c>
      <c r="X299">
        <f ca="1">IF($C299-X$1&lt;År1,0,W298*(1-VLOOKUP($A299,[1]Hugst!$R$5:$W$9,MATCH(ROUNDUP((X$1)/10,0)*10,[1]Hugst!$R$4:$W$4,0))))</f>
        <v>1281.0263341207046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347.33081715183562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841.7752615962803</v>
      </c>
      <c r="G300">
        <f ca="1">IF($C300-G$1&lt;År1,0,F299*(1-VLOOKUP($A300,[1]Hugst!$R$5:$W$9,MATCH(ROUNDUP((G$1)/10,0)*10,[1]Hugst!$R$4:$W$4,0))))</f>
        <v>843.520642587005</v>
      </c>
      <c r="H300">
        <f ca="1">IF($C300-H$1&lt;År1,0,G299*(1-VLOOKUP($A300,[1]Hugst!$R$5:$W$9,MATCH(ROUNDUP((H$1)/10,0)*10,[1]Hugst!$R$4:$W$4,0))))</f>
        <v>845.27479433645874</v>
      </c>
      <c r="I300">
        <f ca="1">IF($C300-I$1&lt;År1,0,H299*(1-VLOOKUP($A300,[1]Hugst!$R$5:$W$9,MATCH(ROUNDUP((I$1)/10,0)*10,[1]Hugst!$R$4:$W$4,0))))</f>
        <v>847.03776091882662</v>
      </c>
      <c r="J300">
        <f ca="1">IF($C300-J$1&lt;År1,0,I299*(1-VLOOKUP($A300,[1]Hugst!$R$5:$W$9,MATCH(ROUNDUP((J$1)/10,0)*10,[1]Hugst!$R$4:$W$4,0))))</f>
        <v>848.80958662976116</v>
      </c>
      <c r="K300">
        <f ca="1">IF($C300-K$1&lt;År1,0,J299*(1-VLOOKUP($A300,[1]Hugst!$R$5:$W$9,MATCH(ROUNDUP((K$1)/10,0)*10,[1]Hugst!$R$4:$W$4,0))))</f>
        <v>850.59031598747094</v>
      </c>
      <c r="L300">
        <f ca="1">IF($C300-L$1&lt;År1,0,K299*(1-VLOOKUP($A300,[1]Hugst!$R$5:$W$9,MATCH(ROUNDUP((L$1)/10,0)*10,[1]Hugst!$R$4:$W$4,0))))</f>
        <v>852.37999373391574</v>
      </c>
      <c r="M300">
        <f ca="1">IF($C300-M$1&lt;År1,0,L299*(1-VLOOKUP($A300,[1]Hugst!$R$5:$W$9,MATCH(ROUNDUP((M$1)/10,0)*10,[1]Hugst!$R$4:$W$4,0))))</f>
        <v>854.17866483587784</v>
      </c>
      <c r="N300">
        <f ca="1">IF($C300-N$1&lt;År1,0,M299*(1-VLOOKUP($A300,[1]Hugst!$R$5:$W$9,MATCH(ROUNDUP((N$1)/10,0)*10,[1]Hugst!$R$4:$W$4,0))))</f>
        <v>855.98637448607258</v>
      </c>
      <c r="O300">
        <f ca="1">IF($C300-O$1&lt;År1,0,N299*(1-VLOOKUP($A300,[1]Hugst!$R$5:$W$9,MATCH(ROUNDUP((O$1)/10,0)*10,[1]Hugst!$R$4:$W$4,0))))</f>
        <v>1262.348622649846</v>
      </c>
      <c r="P300">
        <f ca="1">IF($C300-P$1&lt;År1,0,O299*(1-VLOOKUP($A300,[1]Hugst!$R$5:$W$9,MATCH(ROUNDUP((P$1)/10,0)*10,[1]Hugst!$R$4:$W$4,0))))</f>
        <v>1264.1745458843091</v>
      </c>
      <c r="Q300">
        <f ca="1">IF($C300-Q$1&lt;År1,0,P299*(1-VLOOKUP($A300,[1]Hugst!$R$5:$W$9,MATCH(ROUNDUP((Q$1)/10,0)*10,[1]Hugst!$R$4:$W$4,0))))</f>
        <v>1266.0096446124242</v>
      </c>
      <c r="R300">
        <f ca="1">IF($C300-R$1&lt;År1,0,Q299*(1-VLOOKUP($A300,[1]Hugst!$R$5:$W$9,MATCH(ROUNDUP((R$1)/10,0)*10,[1]Hugst!$R$4:$W$4,0))))</f>
        <v>1267.8539649421775</v>
      </c>
      <c r="S300">
        <f ca="1">IF($C300-S$1&lt;År1,0,R299*(1-VLOOKUP($A300,[1]Hugst!$R$5:$W$9,MATCH(ROUNDUP((S$1)/10,0)*10,[1]Hugst!$R$4:$W$4,0))))</f>
        <v>1269.7075532133128</v>
      </c>
      <c r="T300">
        <f ca="1">IF($C300-T$1&lt;År1,0,S299*(1-VLOOKUP($A300,[1]Hugst!$R$5:$W$9,MATCH(ROUNDUP((T$1)/10,0)*10,[1]Hugst!$R$4:$W$4,0))))</f>
        <v>1271.5704559983385</v>
      </c>
      <c r="U300">
        <f ca="1">IF($C300-U$1&lt;År1,0,T299*(1-VLOOKUP($A300,[1]Hugst!$R$5:$W$9,MATCH(ROUNDUP((U$1)/10,0)*10,[1]Hugst!$R$4:$W$4,0))))</f>
        <v>1273.4427201039146</v>
      </c>
      <c r="V300">
        <f ca="1">IF($C300-V$1&lt;År1,0,U299*(1-VLOOKUP($A300,[1]Hugst!$R$5:$W$9,MATCH(ROUNDUP((V$1)/10,0)*10,[1]Hugst!$R$4:$W$4,0))))</f>
        <v>1275.3243925718143</v>
      </c>
      <c r="W300">
        <f ca="1">IF($C300-W$1&lt;År1,0,V299*(1-VLOOKUP($A300,[1]Hugst!$R$5:$W$9,MATCH(ROUNDUP((W$1)/10,0)*10,[1]Hugst!$R$4:$W$4,0))))</f>
        <v>1277.2155206802759</v>
      </c>
      <c r="X300">
        <f ca="1">IF($C300-X$1&lt;År1,0,W299*(1-VLOOKUP($A300,[1]Hugst!$R$5:$W$9,MATCH(ROUNDUP((X$1)/10,0)*10,[1]Hugst!$R$4:$W$4,0))))</f>
        <v>1279.1161519450502</v>
      </c>
      <c r="Y300">
        <f ca="1">IF($C300-Y$1&lt;År1,0,X299*(1-VLOOKUP($A300,[1]Hugst!$R$5:$W$9,MATCH(ROUNDUP((Y$1)/10,0)*10,[1]Hugst!$R$4:$W$4,0))))</f>
        <v>1281.0263341207046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345.59416306607818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840.03860751052287</v>
      </c>
      <c r="G301">
        <f ca="1">IF($C301-G$1&lt;År1,0,F300*(1-VLOOKUP($A301,[1]Hugst!$R$5:$W$9,MATCH(ROUNDUP((G$1)/10,0)*10,[1]Hugst!$R$4:$W$4,0))))</f>
        <v>841.7752615962803</v>
      </c>
      <c r="H301">
        <f ca="1">IF($C301-H$1&lt;År1,0,G300*(1-VLOOKUP($A301,[1]Hugst!$R$5:$W$9,MATCH(ROUNDUP((H$1)/10,0)*10,[1]Hugst!$R$4:$W$4,0))))</f>
        <v>843.520642587005</v>
      </c>
      <c r="I301">
        <f ca="1">IF($C301-I$1&lt;År1,0,H300*(1-VLOOKUP($A301,[1]Hugst!$R$5:$W$9,MATCH(ROUNDUP((I$1)/10,0)*10,[1]Hugst!$R$4:$W$4,0))))</f>
        <v>845.27479433645874</v>
      </c>
      <c r="J301">
        <f ca="1">IF($C301-J$1&lt;År1,0,I300*(1-VLOOKUP($A301,[1]Hugst!$R$5:$W$9,MATCH(ROUNDUP((J$1)/10,0)*10,[1]Hugst!$R$4:$W$4,0))))</f>
        <v>847.03776091882662</v>
      </c>
      <c r="K301">
        <f ca="1">IF($C301-K$1&lt;År1,0,J300*(1-VLOOKUP($A301,[1]Hugst!$R$5:$W$9,MATCH(ROUNDUP((K$1)/10,0)*10,[1]Hugst!$R$4:$W$4,0))))</f>
        <v>848.80958662976116</v>
      </c>
      <c r="L301">
        <f ca="1">IF($C301-L$1&lt;År1,0,K300*(1-VLOOKUP($A301,[1]Hugst!$R$5:$W$9,MATCH(ROUNDUP((L$1)/10,0)*10,[1]Hugst!$R$4:$W$4,0))))</f>
        <v>850.59031598747094</v>
      </c>
      <c r="M301">
        <f ca="1">IF($C301-M$1&lt;År1,0,L300*(1-VLOOKUP($A301,[1]Hugst!$R$5:$W$9,MATCH(ROUNDUP((M$1)/10,0)*10,[1]Hugst!$R$4:$W$4,0))))</f>
        <v>852.37999373391574</v>
      </c>
      <c r="N301">
        <f ca="1">IF($C301-N$1&lt;År1,0,M300*(1-VLOOKUP($A301,[1]Hugst!$R$5:$W$9,MATCH(ROUNDUP((N$1)/10,0)*10,[1]Hugst!$R$4:$W$4,0))))</f>
        <v>854.17866483587784</v>
      </c>
      <c r="O301">
        <f ca="1">IF($C301-O$1&lt;År1,0,N300*(1-VLOOKUP($A301,[1]Hugst!$R$5:$W$9,MATCH(ROUNDUP((O$1)/10,0)*10,[1]Hugst!$R$4:$W$4,0))))</f>
        <v>855.98637448607258</v>
      </c>
      <c r="P301">
        <f ca="1">IF($C301-P$1&lt;År1,0,O300*(1-VLOOKUP($A301,[1]Hugst!$R$5:$W$9,MATCH(ROUNDUP((P$1)/10,0)*10,[1]Hugst!$R$4:$W$4,0))))</f>
        <v>1262.348622649846</v>
      </c>
      <c r="Q301">
        <f ca="1">IF($C301-Q$1&lt;År1,0,P300*(1-VLOOKUP($A301,[1]Hugst!$R$5:$W$9,MATCH(ROUNDUP((Q$1)/10,0)*10,[1]Hugst!$R$4:$W$4,0))))</f>
        <v>1264.1745458843091</v>
      </c>
      <c r="R301">
        <f ca="1">IF($C301-R$1&lt;År1,0,Q300*(1-VLOOKUP($A301,[1]Hugst!$R$5:$W$9,MATCH(ROUNDUP((R$1)/10,0)*10,[1]Hugst!$R$4:$W$4,0))))</f>
        <v>1266.0096446124242</v>
      </c>
      <c r="S301">
        <f ca="1">IF($C301-S$1&lt;År1,0,R300*(1-VLOOKUP($A301,[1]Hugst!$R$5:$W$9,MATCH(ROUNDUP((S$1)/10,0)*10,[1]Hugst!$R$4:$W$4,0))))</f>
        <v>1267.8539649421775</v>
      </c>
      <c r="T301">
        <f ca="1">IF($C301-T$1&lt;År1,0,S300*(1-VLOOKUP($A301,[1]Hugst!$R$5:$W$9,MATCH(ROUNDUP((T$1)/10,0)*10,[1]Hugst!$R$4:$W$4,0))))</f>
        <v>1269.7075532133128</v>
      </c>
      <c r="U301">
        <f ca="1">IF($C301-U$1&lt;År1,0,T300*(1-VLOOKUP($A301,[1]Hugst!$R$5:$W$9,MATCH(ROUNDUP((U$1)/10,0)*10,[1]Hugst!$R$4:$W$4,0))))</f>
        <v>1271.5704559983385</v>
      </c>
      <c r="V301">
        <f ca="1">IF($C301-V$1&lt;År1,0,U300*(1-VLOOKUP($A301,[1]Hugst!$R$5:$W$9,MATCH(ROUNDUP((V$1)/10,0)*10,[1]Hugst!$R$4:$W$4,0))))</f>
        <v>1273.4427201039146</v>
      </c>
      <c r="W301">
        <f ca="1">IF($C301-W$1&lt;År1,0,V300*(1-VLOOKUP($A301,[1]Hugst!$R$5:$W$9,MATCH(ROUNDUP((W$1)/10,0)*10,[1]Hugst!$R$4:$W$4,0))))</f>
        <v>1275.3243925718143</v>
      </c>
      <c r="X301">
        <f ca="1">IF($C301-X$1&lt;År1,0,W300*(1-VLOOKUP($A301,[1]Hugst!$R$5:$W$9,MATCH(ROUNDUP((X$1)/10,0)*10,[1]Hugst!$R$4:$W$4,0))))</f>
        <v>1277.2155206802759</v>
      </c>
      <c r="Y301">
        <f ca="1">IF($C301-Y$1&lt;År1,0,X300*(1-VLOOKUP($A301,[1]Hugst!$R$5:$W$9,MATCH(ROUNDUP((Y$1)/10,0)*10,[1]Hugst!$R$4:$W$4,0))))</f>
        <v>1279.1161519450502</v>
      </c>
      <c r="Z301">
        <f ca="1">IF($C301-Z$1&lt;År1,0,Y300*(1-VLOOKUP($A301,[1]Hugst!$R$5:$W$9,MATCH(ROUNDUP((Z$1)/10,0)*10,[1]Hugst!$R$4:$W$4,0))))</f>
        <v>1281.0263341207046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343.86619225075447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838.31063669519915</v>
      </c>
      <c r="G302">
        <f ca="1">IF($C302-G$1&lt;År1,0,F301*(1-VLOOKUP($A302,[1]Hugst!$R$5:$W$9,MATCH(ROUNDUP((G$1)/10,0)*10,[1]Hugst!$R$4:$W$4,0))))</f>
        <v>840.03860751052287</v>
      </c>
      <c r="H302">
        <f ca="1">IF($C302-H$1&lt;År1,0,G301*(1-VLOOKUP($A302,[1]Hugst!$R$5:$W$9,MATCH(ROUNDUP((H$1)/10,0)*10,[1]Hugst!$R$4:$W$4,0))))</f>
        <v>841.7752615962803</v>
      </c>
      <c r="I302">
        <f ca="1">IF($C302-I$1&lt;År1,0,H301*(1-VLOOKUP($A302,[1]Hugst!$R$5:$W$9,MATCH(ROUNDUP((I$1)/10,0)*10,[1]Hugst!$R$4:$W$4,0))))</f>
        <v>843.520642587005</v>
      </c>
      <c r="J302">
        <f ca="1">IF($C302-J$1&lt;År1,0,I301*(1-VLOOKUP($A302,[1]Hugst!$R$5:$W$9,MATCH(ROUNDUP((J$1)/10,0)*10,[1]Hugst!$R$4:$W$4,0))))</f>
        <v>845.27479433645874</v>
      </c>
      <c r="K302">
        <f ca="1">IF($C302-K$1&lt;År1,0,J301*(1-VLOOKUP($A302,[1]Hugst!$R$5:$W$9,MATCH(ROUNDUP((K$1)/10,0)*10,[1]Hugst!$R$4:$W$4,0))))</f>
        <v>847.03776091882662</v>
      </c>
      <c r="L302">
        <f ca="1">IF($C302-L$1&lt;År1,0,K301*(1-VLOOKUP($A302,[1]Hugst!$R$5:$W$9,MATCH(ROUNDUP((L$1)/10,0)*10,[1]Hugst!$R$4:$W$4,0))))</f>
        <v>848.80958662976116</v>
      </c>
      <c r="M302">
        <f ca="1">IF($C302-M$1&lt;År1,0,L301*(1-VLOOKUP($A302,[1]Hugst!$R$5:$W$9,MATCH(ROUNDUP((M$1)/10,0)*10,[1]Hugst!$R$4:$W$4,0))))</f>
        <v>850.59031598747094</v>
      </c>
      <c r="N302">
        <f ca="1">IF($C302-N$1&lt;År1,0,M301*(1-VLOOKUP($A302,[1]Hugst!$R$5:$W$9,MATCH(ROUNDUP((N$1)/10,0)*10,[1]Hugst!$R$4:$W$4,0))))</f>
        <v>852.37999373391574</v>
      </c>
      <c r="O302">
        <f ca="1">IF($C302-O$1&lt;År1,0,N301*(1-VLOOKUP($A302,[1]Hugst!$R$5:$W$9,MATCH(ROUNDUP((O$1)/10,0)*10,[1]Hugst!$R$4:$W$4,0))))</f>
        <v>854.17866483587784</v>
      </c>
      <c r="P302">
        <f ca="1">IF($C302-P$1&lt;År1,0,O301*(1-VLOOKUP($A302,[1]Hugst!$R$5:$W$9,MATCH(ROUNDUP((P$1)/10,0)*10,[1]Hugst!$R$4:$W$4,0))))</f>
        <v>855.98637448607258</v>
      </c>
      <c r="Q302">
        <f ca="1">IF($C302-Q$1&lt;År1,0,P301*(1-VLOOKUP($A302,[1]Hugst!$R$5:$W$9,MATCH(ROUNDUP((Q$1)/10,0)*10,[1]Hugst!$R$4:$W$4,0))))</f>
        <v>1262.348622649846</v>
      </c>
      <c r="R302">
        <f ca="1">IF($C302-R$1&lt;År1,0,Q301*(1-VLOOKUP($A302,[1]Hugst!$R$5:$W$9,MATCH(ROUNDUP((R$1)/10,0)*10,[1]Hugst!$R$4:$W$4,0))))</f>
        <v>1264.1745458843091</v>
      </c>
      <c r="S302">
        <f ca="1">IF($C302-S$1&lt;År1,0,R301*(1-VLOOKUP($A302,[1]Hugst!$R$5:$W$9,MATCH(ROUNDUP((S$1)/10,0)*10,[1]Hugst!$R$4:$W$4,0))))</f>
        <v>1266.0096446124242</v>
      </c>
      <c r="T302">
        <f ca="1">IF($C302-T$1&lt;År1,0,S301*(1-VLOOKUP($A302,[1]Hugst!$R$5:$W$9,MATCH(ROUNDUP((T$1)/10,0)*10,[1]Hugst!$R$4:$W$4,0))))</f>
        <v>1267.8539649421775</v>
      </c>
      <c r="U302">
        <f ca="1">IF($C302-U$1&lt;År1,0,T301*(1-VLOOKUP($A302,[1]Hugst!$R$5:$W$9,MATCH(ROUNDUP((U$1)/10,0)*10,[1]Hugst!$R$4:$W$4,0))))</f>
        <v>1269.7075532133128</v>
      </c>
      <c r="V302">
        <f ca="1">IF($C302-V$1&lt;År1,0,U301*(1-VLOOKUP($A302,[1]Hugst!$R$5:$W$9,MATCH(ROUNDUP((V$1)/10,0)*10,[1]Hugst!$R$4:$W$4,0))))</f>
        <v>1271.5704559983385</v>
      </c>
      <c r="W302">
        <f ca="1">IF($C302-W$1&lt;År1,0,V301*(1-VLOOKUP($A302,[1]Hugst!$R$5:$W$9,MATCH(ROUNDUP((W$1)/10,0)*10,[1]Hugst!$R$4:$W$4,0))))</f>
        <v>1273.4427201039146</v>
      </c>
      <c r="X302">
        <f ca="1">IF($C302-X$1&lt;År1,0,W301*(1-VLOOKUP($A302,[1]Hugst!$R$5:$W$9,MATCH(ROUNDUP((X$1)/10,0)*10,[1]Hugst!$R$4:$W$4,0))))</f>
        <v>1275.3243925718143</v>
      </c>
      <c r="Y302">
        <f ca="1">IF($C302-Y$1&lt;År1,0,X301*(1-VLOOKUP($A302,[1]Hugst!$R$5:$W$9,MATCH(ROUNDUP((Y$1)/10,0)*10,[1]Hugst!$R$4:$W$4,0))))</f>
        <v>1277.2155206802759</v>
      </c>
      <c r="Z302">
        <f ca="1">IF($C302-Z$1&lt;År1,0,Y301*(1-VLOOKUP($A302,[1]Hugst!$R$5:$W$9,MATCH(ROUNDUP((Z$1)/10,0)*10,[1]Hugst!$R$4:$W$4,0))))</f>
        <v>1279.1161519450502</v>
      </c>
      <c r="AA302">
        <f ca="1">IF($C302-AA$1&lt;År1,0,Z301*(1-VLOOKUP($A302,[1]Hugst!$R$5:$W$9,MATCH(ROUNDUP((AA$1)/10,0)*10,[1]Hugst!$R$4:$W$4,0))))</f>
        <v>1281.0263341207046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342.14686128949688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836.59130573394157</v>
      </c>
      <c r="G303">
        <f ca="1">IF($C303-G$1&lt;År1,0,F302*(1-VLOOKUP($A303,[1]Hugst!$R$5:$W$9,MATCH(ROUNDUP((G$1)/10,0)*10,[1]Hugst!$R$4:$W$4,0))))</f>
        <v>838.31063669519915</v>
      </c>
      <c r="H303">
        <f ca="1">IF($C303-H$1&lt;År1,0,G302*(1-VLOOKUP($A303,[1]Hugst!$R$5:$W$9,MATCH(ROUNDUP((H$1)/10,0)*10,[1]Hugst!$R$4:$W$4,0))))</f>
        <v>840.03860751052287</v>
      </c>
      <c r="I303">
        <f ca="1">IF($C303-I$1&lt;År1,0,H302*(1-VLOOKUP($A303,[1]Hugst!$R$5:$W$9,MATCH(ROUNDUP((I$1)/10,0)*10,[1]Hugst!$R$4:$W$4,0))))</f>
        <v>841.7752615962803</v>
      </c>
      <c r="J303">
        <f ca="1">IF($C303-J$1&lt;År1,0,I302*(1-VLOOKUP($A303,[1]Hugst!$R$5:$W$9,MATCH(ROUNDUP((J$1)/10,0)*10,[1]Hugst!$R$4:$W$4,0))))</f>
        <v>843.520642587005</v>
      </c>
      <c r="K303">
        <f ca="1">IF($C303-K$1&lt;År1,0,J302*(1-VLOOKUP($A303,[1]Hugst!$R$5:$W$9,MATCH(ROUNDUP((K$1)/10,0)*10,[1]Hugst!$R$4:$W$4,0))))</f>
        <v>845.27479433645874</v>
      </c>
      <c r="L303">
        <f ca="1">IF($C303-L$1&lt;År1,0,K302*(1-VLOOKUP($A303,[1]Hugst!$R$5:$W$9,MATCH(ROUNDUP((L$1)/10,0)*10,[1]Hugst!$R$4:$W$4,0))))</f>
        <v>847.03776091882662</v>
      </c>
      <c r="M303">
        <f ca="1">IF($C303-M$1&lt;År1,0,L302*(1-VLOOKUP($A303,[1]Hugst!$R$5:$W$9,MATCH(ROUNDUP((M$1)/10,0)*10,[1]Hugst!$R$4:$W$4,0))))</f>
        <v>848.80958662976116</v>
      </c>
      <c r="N303">
        <f ca="1">IF($C303-N$1&lt;År1,0,M302*(1-VLOOKUP($A303,[1]Hugst!$R$5:$W$9,MATCH(ROUNDUP((N$1)/10,0)*10,[1]Hugst!$R$4:$W$4,0))))</f>
        <v>850.59031598747094</v>
      </c>
      <c r="O303">
        <f ca="1">IF($C303-O$1&lt;År1,0,N302*(1-VLOOKUP($A303,[1]Hugst!$R$5:$W$9,MATCH(ROUNDUP((O$1)/10,0)*10,[1]Hugst!$R$4:$W$4,0))))</f>
        <v>852.37999373391574</v>
      </c>
      <c r="P303">
        <f ca="1">IF($C303-P$1&lt;År1,0,O302*(1-VLOOKUP($A303,[1]Hugst!$R$5:$W$9,MATCH(ROUNDUP((P$1)/10,0)*10,[1]Hugst!$R$4:$W$4,0))))</f>
        <v>854.17866483587784</v>
      </c>
      <c r="Q303">
        <f ca="1">IF($C303-Q$1&lt;År1,0,P302*(1-VLOOKUP($A303,[1]Hugst!$R$5:$W$9,MATCH(ROUNDUP((Q$1)/10,0)*10,[1]Hugst!$R$4:$W$4,0))))</f>
        <v>855.98637448607258</v>
      </c>
      <c r="R303">
        <f ca="1">IF($C303-R$1&lt;År1,0,Q302*(1-VLOOKUP($A303,[1]Hugst!$R$5:$W$9,MATCH(ROUNDUP((R$1)/10,0)*10,[1]Hugst!$R$4:$W$4,0))))</f>
        <v>1262.348622649846</v>
      </c>
      <c r="S303">
        <f ca="1">IF($C303-S$1&lt;År1,0,R302*(1-VLOOKUP($A303,[1]Hugst!$R$5:$W$9,MATCH(ROUNDUP((S$1)/10,0)*10,[1]Hugst!$R$4:$W$4,0))))</f>
        <v>1264.1745458843091</v>
      </c>
      <c r="T303">
        <f ca="1">IF($C303-T$1&lt;År1,0,S302*(1-VLOOKUP($A303,[1]Hugst!$R$5:$W$9,MATCH(ROUNDUP((T$1)/10,0)*10,[1]Hugst!$R$4:$W$4,0))))</f>
        <v>1266.0096446124242</v>
      </c>
      <c r="U303">
        <f ca="1">IF($C303-U$1&lt;År1,0,T302*(1-VLOOKUP($A303,[1]Hugst!$R$5:$W$9,MATCH(ROUNDUP((U$1)/10,0)*10,[1]Hugst!$R$4:$W$4,0))))</f>
        <v>1267.8539649421775</v>
      </c>
      <c r="V303">
        <f ca="1">IF($C303-V$1&lt;År1,0,U302*(1-VLOOKUP($A303,[1]Hugst!$R$5:$W$9,MATCH(ROUNDUP((V$1)/10,0)*10,[1]Hugst!$R$4:$W$4,0))))</f>
        <v>1269.7075532133128</v>
      </c>
      <c r="W303">
        <f ca="1">IF($C303-W$1&lt;År1,0,V302*(1-VLOOKUP($A303,[1]Hugst!$R$5:$W$9,MATCH(ROUNDUP((W$1)/10,0)*10,[1]Hugst!$R$4:$W$4,0))))</f>
        <v>1271.5704559983385</v>
      </c>
      <c r="X303">
        <f ca="1">IF($C303-X$1&lt;År1,0,W302*(1-VLOOKUP($A303,[1]Hugst!$R$5:$W$9,MATCH(ROUNDUP((X$1)/10,0)*10,[1]Hugst!$R$4:$W$4,0))))</f>
        <v>1273.4427201039146</v>
      </c>
      <c r="Y303">
        <f ca="1">IF($C303-Y$1&lt;År1,0,X302*(1-VLOOKUP($A303,[1]Hugst!$R$5:$W$9,MATCH(ROUNDUP((Y$1)/10,0)*10,[1]Hugst!$R$4:$W$4,0))))</f>
        <v>1275.3243925718143</v>
      </c>
      <c r="Z303">
        <f ca="1">IF($C303-Z$1&lt;År1,0,Y302*(1-VLOOKUP($A303,[1]Hugst!$R$5:$W$9,MATCH(ROUNDUP((Z$1)/10,0)*10,[1]Hugst!$R$4:$W$4,0))))</f>
        <v>1277.2155206802759</v>
      </c>
      <c r="AA303">
        <f ca="1">IF($C303-AA$1&lt;År1,0,Z302*(1-VLOOKUP($A303,[1]Hugst!$R$5:$W$9,MATCH(ROUNDUP((AA$1)/10,0)*10,[1]Hugst!$R$4:$W$4,0))))</f>
        <v>1279.1161519450502</v>
      </c>
      <c r="AB303">
        <f ca="1">IF($C303-AB$1&lt;År1,0,AA302*(1-VLOOKUP($A303,[1]Hugst!$R$5:$W$9,MATCH(ROUNDUP((AB$1)/10,0)*10,[1]Hugst!$R$4:$W$4,0))))</f>
        <v>1281.0263341207046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340.43612698305151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834.88057142749619</v>
      </c>
      <c r="G304">
        <f ca="1">IF($C304-G$1&lt;År1,0,F303*(1-VLOOKUP($A304,[1]Hugst!$R$5:$W$9,MATCH(ROUNDUP((G$1)/10,0)*10,[1]Hugst!$R$4:$W$4,0))))</f>
        <v>836.59130573394157</v>
      </c>
      <c r="H304">
        <f ca="1">IF($C304-H$1&lt;År1,0,G303*(1-VLOOKUP($A304,[1]Hugst!$R$5:$W$9,MATCH(ROUNDUP((H$1)/10,0)*10,[1]Hugst!$R$4:$W$4,0))))</f>
        <v>838.31063669519915</v>
      </c>
      <c r="I304">
        <f ca="1">IF($C304-I$1&lt;År1,0,H303*(1-VLOOKUP($A304,[1]Hugst!$R$5:$W$9,MATCH(ROUNDUP((I$1)/10,0)*10,[1]Hugst!$R$4:$W$4,0))))</f>
        <v>840.03860751052287</v>
      </c>
      <c r="J304">
        <f ca="1">IF($C304-J$1&lt;År1,0,I303*(1-VLOOKUP($A304,[1]Hugst!$R$5:$W$9,MATCH(ROUNDUP((J$1)/10,0)*10,[1]Hugst!$R$4:$W$4,0))))</f>
        <v>841.7752615962803</v>
      </c>
      <c r="K304">
        <f ca="1">IF($C304-K$1&lt;År1,0,J303*(1-VLOOKUP($A304,[1]Hugst!$R$5:$W$9,MATCH(ROUNDUP((K$1)/10,0)*10,[1]Hugst!$R$4:$W$4,0))))</f>
        <v>843.520642587005</v>
      </c>
      <c r="L304">
        <f ca="1">IF($C304-L$1&lt;År1,0,K303*(1-VLOOKUP($A304,[1]Hugst!$R$5:$W$9,MATCH(ROUNDUP((L$1)/10,0)*10,[1]Hugst!$R$4:$W$4,0))))</f>
        <v>845.27479433645874</v>
      </c>
      <c r="M304">
        <f ca="1">IF($C304-M$1&lt;År1,0,L303*(1-VLOOKUP($A304,[1]Hugst!$R$5:$W$9,MATCH(ROUNDUP((M$1)/10,0)*10,[1]Hugst!$R$4:$W$4,0))))</f>
        <v>847.03776091882662</v>
      </c>
      <c r="N304">
        <f ca="1">IF($C304-N$1&lt;År1,0,M303*(1-VLOOKUP($A304,[1]Hugst!$R$5:$W$9,MATCH(ROUNDUP((N$1)/10,0)*10,[1]Hugst!$R$4:$W$4,0))))</f>
        <v>848.80958662976116</v>
      </c>
      <c r="O304">
        <f ca="1">IF($C304-O$1&lt;År1,0,N303*(1-VLOOKUP($A304,[1]Hugst!$R$5:$W$9,MATCH(ROUNDUP((O$1)/10,0)*10,[1]Hugst!$R$4:$W$4,0))))</f>
        <v>850.59031598747094</v>
      </c>
      <c r="P304">
        <f ca="1">IF($C304-P$1&lt;År1,0,O303*(1-VLOOKUP($A304,[1]Hugst!$R$5:$W$9,MATCH(ROUNDUP((P$1)/10,0)*10,[1]Hugst!$R$4:$W$4,0))))</f>
        <v>852.37999373391574</v>
      </c>
      <c r="Q304">
        <f ca="1">IF($C304-Q$1&lt;År1,0,P303*(1-VLOOKUP($A304,[1]Hugst!$R$5:$W$9,MATCH(ROUNDUP((Q$1)/10,0)*10,[1]Hugst!$R$4:$W$4,0))))</f>
        <v>854.17866483587784</v>
      </c>
      <c r="R304">
        <f ca="1">IF($C304-R$1&lt;År1,0,Q303*(1-VLOOKUP($A304,[1]Hugst!$R$5:$W$9,MATCH(ROUNDUP((R$1)/10,0)*10,[1]Hugst!$R$4:$W$4,0))))</f>
        <v>855.98637448607258</v>
      </c>
      <c r="S304">
        <f ca="1">IF($C304-S$1&lt;År1,0,R303*(1-VLOOKUP($A304,[1]Hugst!$R$5:$W$9,MATCH(ROUNDUP((S$1)/10,0)*10,[1]Hugst!$R$4:$W$4,0))))</f>
        <v>1262.348622649846</v>
      </c>
      <c r="T304">
        <f ca="1">IF($C304-T$1&lt;År1,0,S303*(1-VLOOKUP($A304,[1]Hugst!$R$5:$W$9,MATCH(ROUNDUP((T$1)/10,0)*10,[1]Hugst!$R$4:$W$4,0))))</f>
        <v>1264.1745458843091</v>
      </c>
      <c r="U304">
        <f ca="1">IF($C304-U$1&lt;År1,0,T303*(1-VLOOKUP($A304,[1]Hugst!$R$5:$W$9,MATCH(ROUNDUP((U$1)/10,0)*10,[1]Hugst!$R$4:$W$4,0))))</f>
        <v>1266.0096446124242</v>
      </c>
      <c r="V304">
        <f ca="1">IF($C304-V$1&lt;År1,0,U303*(1-VLOOKUP($A304,[1]Hugst!$R$5:$W$9,MATCH(ROUNDUP((V$1)/10,0)*10,[1]Hugst!$R$4:$W$4,0))))</f>
        <v>1267.8539649421775</v>
      </c>
      <c r="W304">
        <f ca="1">IF($C304-W$1&lt;År1,0,V303*(1-VLOOKUP($A304,[1]Hugst!$R$5:$W$9,MATCH(ROUNDUP((W$1)/10,0)*10,[1]Hugst!$R$4:$W$4,0))))</f>
        <v>1269.7075532133128</v>
      </c>
      <c r="X304">
        <f ca="1">IF($C304-X$1&lt;År1,0,W303*(1-VLOOKUP($A304,[1]Hugst!$R$5:$W$9,MATCH(ROUNDUP((X$1)/10,0)*10,[1]Hugst!$R$4:$W$4,0))))</f>
        <v>1271.5704559983385</v>
      </c>
      <c r="Y304">
        <f ca="1">IF($C304-Y$1&lt;År1,0,X303*(1-VLOOKUP($A304,[1]Hugst!$R$5:$W$9,MATCH(ROUNDUP((Y$1)/10,0)*10,[1]Hugst!$R$4:$W$4,0))))</f>
        <v>1273.4427201039146</v>
      </c>
      <c r="Z304">
        <f ca="1">IF($C304-Z$1&lt;År1,0,Y303*(1-VLOOKUP($A304,[1]Hugst!$R$5:$W$9,MATCH(ROUNDUP((Z$1)/10,0)*10,[1]Hugst!$R$4:$W$4,0))))</f>
        <v>1275.3243925718143</v>
      </c>
      <c r="AA304">
        <f ca="1">IF($C304-AA$1&lt;År1,0,Z303*(1-VLOOKUP($A304,[1]Hugst!$R$5:$W$9,MATCH(ROUNDUP((AA$1)/10,0)*10,[1]Hugst!$R$4:$W$4,0))))</f>
        <v>1277.2155206802759</v>
      </c>
      <c r="AB304">
        <f ca="1">IF($C304-AB$1&lt;År1,0,AA303*(1-VLOOKUP($A304,[1]Hugst!$R$5:$W$9,MATCH(ROUNDUP((AB$1)/10,0)*10,[1]Hugst!$R$4:$W$4,0))))</f>
        <v>1279.1161519450502</v>
      </c>
      <c r="AC304">
        <f ca="1">IF($C304-AC$1&lt;År1,0,AB303*(1-VLOOKUP($A304,[1]Hugst!$R$5:$W$9,MATCH(ROUNDUP((AC$1)/10,0)*10,[1]Hugst!$R$4:$W$4,0))))</f>
        <v>1281.0263341207046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338.73394634813121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833.1783907925759</v>
      </c>
      <c r="G305">
        <f ca="1">IF($C305-G$1&lt;År1,0,F304*(1-VLOOKUP($A305,[1]Hugst!$R$5:$W$9,MATCH(ROUNDUP((G$1)/10,0)*10,[1]Hugst!$R$4:$W$4,0))))</f>
        <v>834.88057142749619</v>
      </c>
      <c r="H305">
        <f ca="1">IF($C305-H$1&lt;År1,0,G304*(1-VLOOKUP($A305,[1]Hugst!$R$5:$W$9,MATCH(ROUNDUP((H$1)/10,0)*10,[1]Hugst!$R$4:$W$4,0))))</f>
        <v>836.59130573394157</v>
      </c>
      <c r="I305">
        <f ca="1">IF($C305-I$1&lt;År1,0,H304*(1-VLOOKUP($A305,[1]Hugst!$R$5:$W$9,MATCH(ROUNDUP((I$1)/10,0)*10,[1]Hugst!$R$4:$W$4,0))))</f>
        <v>838.31063669519915</v>
      </c>
      <c r="J305">
        <f ca="1">IF($C305-J$1&lt;År1,0,I304*(1-VLOOKUP($A305,[1]Hugst!$R$5:$W$9,MATCH(ROUNDUP((J$1)/10,0)*10,[1]Hugst!$R$4:$W$4,0))))</f>
        <v>840.03860751052287</v>
      </c>
      <c r="K305">
        <f ca="1">IF($C305-K$1&lt;År1,0,J304*(1-VLOOKUP($A305,[1]Hugst!$R$5:$W$9,MATCH(ROUNDUP((K$1)/10,0)*10,[1]Hugst!$R$4:$W$4,0))))</f>
        <v>841.7752615962803</v>
      </c>
      <c r="L305">
        <f ca="1">IF($C305-L$1&lt;År1,0,K304*(1-VLOOKUP($A305,[1]Hugst!$R$5:$W$9,MATCH(ROUNDUP((L$1)/10,0)*10,[1]Hugst!$R$4:$W$4,0))))</f>
        <v>843.520642587005</v>
      </c>
      <c r="M305">
        <f ca="1">IF($C305-M$1&lt;År1,0,L304*(1-VLOOKUP($A305,[1]Hugst!$R$5:$W$9,MATCH(ROUNDUP((M$1)/10,0)*10,[1]Hugst!$R$4:$W$4,0))))</f>
        <v>845.27479433645874</v>
      </c>
      <c r="N305">
        <f ca="1">IF($C305-N$1&lt;År1,0,M304*(1-VLOOKUP($A305,[1]Hugst!$R$5:$W$9,MATCH(ROUNDUP((N$1)/10,0)*10,[1]Hugst!$R$4:$W$4,0))))</f>
        <v>847.03776091882662</v>
      </c>
      <c r="O305">
        <f ca="1">IF($C305-O$1&lt;År1,0,N304*(1-VLOOKUP($A305,[1]Hugst!$R$5:$W$9,MATCH(ROUNDUP((O$1)/10,0)*10,[1]Hugst!$R$4:$W$4,0))))</f>
        <v>848.80958662976116</v>
      </c>
      <c r="P305">
        <f ca="1">IF($C305-P$1&lt;År1,0,O304*(1-VLOOKUP($A305,[1]Hugst!$R$5:$W$9,MATCH(ROUNDUP((P$1)/10,0)*10,[1]Hugst!$R$4:$W$4,0))))</f>
        <v>850.59031598747094</v>
      </c>
      <c r="Q305">
        <f ca="1">IF($C305-Q$1&lt;År1,0,P304*(1-VLOOKUP($A305,[1]Hugst!$R$5:$W$9,MATCH(ROUNDUP((Q$1)/10,0)*10,[1]Hugst!$R$4:$W$4,0))))</f>
        <v>852.37999373391574</v>
      </c>
      <c r="R305">
        <f ca="1">IF($C305-R$1&lt;År1,0,Q304*(1-VLOOKUP($A305,[1]Hugst!$R$5:$W$9,MATCH(ROUNDUP((R$1)/10,0)*10,[1]Hugst!$R$4:$W$4,0))))</f>
        <v>854.17866483587784</v>
      </c>
      <c r="S305">
        <f ca="1">IF($C305-S$1&lt;År1,0,R304*(1-VLOOKUP($A305,[1]Hugst!$R$5:$W$9,MATCH(ROUNDUP((S$1)/10,0)*10,[1]Hugst!$R$4:$W$4,0))))</f>
        <v>855.98637448607258</v>
      </c>
      <c r="T305">
        <f ca="1">IF($C305-T$1&lt;År1,0,S304*(1-VLOOKUP($A305,[1]Hugst!$R$5:$W$9,MATCH(ROUNDUP((T$1)/10,0)*10,[1]Hugst!$R$4:$W$4,0))))</f>
        <v>1262.348622649846</v>
      </c>
      <c r="U305">
        <f ca="1">IF($C305-U$1&lt;År1,0,T304*(1-VLOOKUP($A305,[1]Hugst!$R$5:$W$9,MATCH(ROUNDUP((U$1)/10,0)*10,[1]Hugst!$R$4:$W$4,0))))</f>
        <v>1264.1745458843091</v>
      </c>
      <c r="V305">
        <f ca="1">IF($C305-V$1&lt;År1,0,U304*(1-VLOOKUP($A305,[1]Hugst!$R$5:$W$9,MATCH(ROUNDUP((V$1)/10,0)*10,[1]Hugst!$R$4:$W$4,0))))</f>
        <v>1266.0096446124242</v>
      </c>
      <c r="W305">
        <f ca="1">IF($C305-W$1&lt;År1,0,V304*(1-VLOOKUP($A305,[1]Hugst!$R$5:$W$9,MATCH(ROUNDUP((W$1)/10,0)*10,[1]Hugst!$R$4:$W$4,0))))</f>
        <v>1267.8539649421775</v>
      </c>
      <c r="X305">
        <f ca="1">IF($C305-X$1&lt;År1,0,W304*(1-VLOOKUP($A305,[1]Hugst!$R$5:$W$9,MATCH(ROUNDUP((X$1)/10,0)*10,[1]Hugst!$R$4:$W$4,0))))</f>
        <v>1269.7075532133128</v>
      </c>
      <c r="Y305">
        <f ca="1">IF($C305-Y$1&lt;År1,0,X304*(1-VLOOKUP($A305,[1]Hugst!$R$5:$W$9,MATCH(ROUNDUP((Y$1)/10,0)*10,[1]Hugst!$R$4:$W$4,0))))</f>
        <v>1271.5704559983385</v>
      </c>
      <c r="Z305">
        <f ca="1">IF($C305-Z$1&lt;År1,0,Y304*(1-VLOOKUP($A305,[1]Hugst!$R$5:$W$9,MATCH(ROUNDUP((Z$1)/10,0)*10,[1]Hugst!$R$4:$W$4,0))))</f>
        <v>1273.4427201039146</v>
      </c>
      <c r="AA305">
        <f ca="1">IF($C305-AA$1&lt;År1,0,Z304*(1-VLOOKUP($A305,[1]Hugst!$R$5:$W$9,MATCH(ROUNDUP((AA$1)/10,0)*10,[1]Hugst!$R$4:$W$4,0))))</f>
        <v>1275.3243925718143</v>
      </c>
      <c r="AB305">
        <f ca="1">IF($C305-AB$1&lt;År1,0,AA304*(1-VLOOKUP($A305,[1]Hugst!$R$5:$W$9,MATCH(ROUNDUP((AB$1)/10,0)*10,[1]Hugst!$R$4:$W$4,0))))</f>
        <v>1277.2155206802759</v>
      </c>
      <c r="AC305">
        <f ca="1">IF($C305-AC$1&lt;År1,0,AB304*(1-VLOOKUP($A305,[1]Hugst!$R$5:$W$9,MATCH(ROUNDUP((AC$1)/10,0)*10,[1]Hugst!$R$4:$W$4,0))))</f>
        <v>1279.1161519450502</v>
      </c>
      <c r="AD305">
        <f ca="1">IF($C305-AD$1&lt;År1,0,AC304*(1-VLOOKUP($A305,[1]Hugst!$R$5:$W$9,MATCH(ROUNDUP((AD$1)/10,0)*10,[1]Hugst!$R$4:$W$4,0))))</f>
        <v>1281.0263341207046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337.04027661639157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831.48472106083625</v>
      </c>
      <c r="G306">
        <f ca="1">IF($C306-G$1&lt;År1,0,F305*(1-VLOOKUP($A306,[1]Hugst!$R$5:$W$9,MATCH(ROUNDUP((G$1)/10,0)*10,[1]Hugst!$R$4:$W$4,0))))</f>
        <v>833.1783907925759</v>
      </c>
      <c r="H306">
        <f ca="1">IF($C306-H$1&lt;År1,0,G305*(1-VLOOKUP($A306,[1]Hugst!$R$5:$W$9,MATCH(ROUNDUP((H$1)/10,0)*10,[1]Hugst!$R$4:$W$4,0))))</f>
        <v>834.88057142749619</v>
      </c>
      <c r="I306">
        <f ca="1">IF($C306-I$1&lt;År1,0,H305*(1-VLOOKUP($A306,[1]Hugst!$R$5:$W$9,MATCH(ROUNDUP((I$1)/10,0)*10,[1]Hugst!$R$4:$W$4,0))))</f>
        <v>836.59130573394157</v>
      </c>
      <c r="J306">
        <f ca="1">IF($C306-J$1&lt;År1,0,I305*(1-VLOOKUP($A306,[1]Hugst!$R$5:$W$9,MATCH(ROUNDUP((J$1)/10,0)*10,[1]Hugst!$R$4:$W$4,0))))</f>
        <v>838.31063669519915</v>
      </c>
      <c r="K306">
        <f ca="1">IF($C306-K$1&lt;År1,0,J305*(1-VLOOKUP($A306,[1]Hugst!$R$5:$W$9,MATCH(ROUNDUP((K$1)/10,0)*10,[1]Hugst!$R$4:$W$4,0))))</f>
        <v>840.03860751052287</v>
      </c>
      <c r="L306">
        <f ca="1">IF($C306-L$1&lt;År1,0,K305*(1-VLOOKUP($A306,[1]Hugst!$R$5:$W$9,MATCH(ROUNDUP((L$1)/10,0)*10,[1]Hugst!$R$4:$W$4,0))))</f>
        <v>841.7752615962803</v>
      </c>
      <c r="M306">
        <f ca="1">IF($C306-M$1&lt;År1,0,L305*(1-VLOOKUP($A306,[1]Hugst!$R$5:$W$9,MATCH(ROUNDUP((M$1)/10,0)*10,[1]Hugst!$R$4:$W$4,0))))</f>
        <v>843.520642587005</v>
      </c>
      <c r="N306">
        <f ca="1">IF($C306-N$1&lt;År1,0,M305*(1-VLOOKUP($A306,[1]Hugst!$R$5:$W$9,MATCH(ROUNDUP((N$1)/10,0)*10,[1]Hugst!$R$4:$W$4,0))))</f>
        <v>845.27479433645874</v>
      </c>
      <c r="O306">
        <f ca="1">IF($C306-O$1&lt;År1,0,N305*(1-VLOOKUP($A306,[1]Hugst!$R$5:$W$9,MATCH(ROUNDUP((O$1)/10,0)*10,[1]Hugst!$R$4:$W$4,0))))</f>
        <v>847.03776091882662</v>
      </c>
      <c r="P306">
        <f ca="1">IF($C306-P$1&lt;År1,0,O305*(1-VLOOKUP($A306,[1]Hugst!$R$5:$W$9,MATCH(ROUNDUP((P$1)/10,0)*10,[1]Hugst!$R$4:$W$4,0))))</f>
        <v>848.80958662976116</v>
      </c>
      <c r="Q306">
        <f ca="1">IF($C306-Q$1&lt;År1,0,P305*(1-VLOOKUP($A306,[1]Hugst!$R$5:$W$9,MATCH(ROUNDUP((Q$1)/10,0)*10,[1]Hugst!$R$4:$W$4,0))))</f>
        <v>850.59031598747094</v>
      </c>
      <c r="R306">
        <f ca="1">IF($C306-R$1&lt;År1,0,Q305*(1-VLOOKUP($A306,[1]Hugst!$R$5:$W$9,MATCH(ROUNDUP((R$1)/10,0)*10,[1]Hugst!$R$4:$W$4,0))))</f>
        <v>852.37999373391574</v>
      </c>
      <c r="S306">
        <f ca="1">IF($C306-S$1&lt;År1,0,R305*(1-VLOOKUP($A306,[1]Hugst!$R$5:$W$9,MATCH(ROUNDUP((S$1)/10,0)*10,[1]Hugst!$R$4:$W$4,0))))</f>
        <v>854.17866483587784</v>
      </c>
      <c r="T306">
        <f ca="1">IF($C306-T$1&lt;År1,0,S305*(1-VLOOKUP($A306,[1]Hugst!$R$5:$W$9,MATCH(ROUNDUP((T$1)/10,0)*10,[1]Hugst!$R$4:$W$4,0))))</f>
        <v>855.98637448607258</v>
      </c>
      <c r="U306">
        <f ca="1">IF($C306-U$1&lt;År1,0,T305*(1-VLOOKUP($A306,[1]Hugst!$R$5:$W$9,MATCH(ROUNDUP((U$1)/10,0)*10,[1]Hugst!$R$4:$W$4,0))))</f>
        <v>1262.348622649846</v>
      </c>
      <c r="V306">
        <f ca="1">IF($C306-V$1&lt;År1,0,U305*(1-VLOOKUP($A306,[1]Hugst!$R$5:$W$9,MATCH(ROUNDUP((V$1)/10,0)*10,[1]Hugst!$R$4:$W$4,0))))</f>
        <v>1264.1745458843091</v>
      </c>
      <c r="W306">
        <f ca="1">IF($C306-W$1&lt;År1,0,V305*(1-VLOOKUP($A306,[1]Hugst!$R$5:$W$9,MATCH(ROUNDUP((W$1)/10,0)*10,[1]Hugst!$R$4:$W$4,0))))</f>
        <v>1266.0096446124242</v>
      </c>
      <c r="X306">
        <f ca="1">IF($C306-X$1&lt;År1,0,W305*(1-VLOOKUP($A306,[1]Hugst!$R$5:$W$9,MATCH(ROUNDUP((X$1)/10,0)*10,[1]Hugst!$R$4:$W$4,0))))</f>
        <v>1267.8539649421775</v>
      </c>
      <c r="Y306">
        <f ca="1">IF($C306-Y$1&lt;År1,0,X305*(1-VLOOKUP($A306,[1]Hugst!$R$5:$W$9,MATCH(ROUNDUP((Y$1)/10,0)*10,[1]Hugst!$R$4:$W$4,0))))</f>
        <v>1269.7075532133128</v>
      </c>
      <c r="Z306">
        <f ca="1">IF($C306-Z$1&lt;År1,0,Y305*(1-VLOOKUP($A306,[1]Hugst!$R$5:$W$9,MATCH(ROUNDUP((Z$1)/10,0)*10,[1]Hugst!$R$4:$W$4,0))))</f>
        <v>1271.5704559983385</v>
      </c>
      <c r="AA306">
        <f ca="1">IF($C306-AA$1&lt;År1,0,Z305*(1-VLOOKUP($A306,[1]Hugst!$R$5:$W$9,MATCH(ROUNDUP((AA$1)/10,0)*10,[1]Hugst!$R$4:$W$4,0))))</f>
        <v>1273.4427201039146</v>
      </c>
      <c r="AB306">
        <f ca="1">IF($C306-AB$1&lt;År1,0,AA305*(1-VLOOKUP($A306,[1]Hugst!$R$5:$W$9,MATCH(ROUNDUP((AB$1)/10,0)*10,[1]Hugst!$R$4:$W$4,0))))</f>
        <v>1275.3243925718143</v>
      </c>
      <c r="AC306">
        <f ca="1">IF($C306-AC$1&lt;År1,0,AB305*(1-VLOOKUP($A306,[1]Hugst!$R$5:$W$9,MATCH(ROUNDUP((AC$1)/10,0)*10,[1]Hugst!$R$4:$W$4,0))))</f>
        <v>1277.2155206802759</v>
      </c>
      <c r="AD306">
        <f ca="1">IF($C306-AD$1&lt;År1,0,AC305*(1-VLOOKUP($A306,[1]Hugst!$R$5:$W$9,MATCH(ROUNDUP((AD$1)/10,0)*10,[1]Hugst!$R$4:$W$4,0))))</f>
        <v>1279.1161519450502</v>
      </c>
      <c r="AE306">
        <f ca="1">IF($C306-AE$1&lt;År1,0,AD305*(1-VLOOKUP($A306,[1]Hugst!$R$5:$W$9,MATCH(ROUNDUP((AE$1)/10,0)*10,[1]Hugst!$R$4:$W$4,0))))</f>
        <v>1281.0263341207046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335.35507523331944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829.79951967776412</v>
      </c>
      <c r="G307">
        <f ca="1">IF($C307-G$1&lt;År1,0,F306*(1-VLOOKUP($A307,[1]Hugst!$R$5:$W$9,MATCH(ROUNDUP((G$1)/10,0)*10,[1]Hugst!$R$4:$W$4,0))))</f>
        <v>831.48472106083625</v>
      </c>
      <c r="H307">
        <f ca="1">IF($C307-H$1&lt;År1,0,G306*(1-VLOOKUP($A307,[1]Hugst!$R$5:$W$9,MATCH(ROUNDUP((H$1)/10,0)*10,[1]Hugst!$R$4:$W$4,0))))</f>
        <v>833.1783907925759</v>
      </c>
      <c r="I307">
        <f ca="1">IF($C307-I$1&lt;År1,0,H306*(1-VLOOKUP($A307,[1]Hugst!$R$5:$W$9,MATCH(ROUNDUP((I$1)/10,0)*10,[1]Hugst!$R$4:$W$4,0))))</f>
        <v>834.88057142749619</v>
      </c>
      <c r="J307">
        <f ca="1">IF($C307-J$1&lt;År1,0,I306*(1-VLOOKUP($A307,[1]Hugst!$R$5:$W$9,MATCH(ROUNDUP((J$1)/10,0)*10,[1]Hugst!$R$4:$W$4,0))))</f>
        <v>836.59130573394157</v>
      </c>
      <c r="K307">
        <f ca="1">IF($C307-K$1&lt;År1,0,J306*(1-VLOOKUP($A307,[1]Hugst!$R$5:$W$9,MATCH(ROUNDUP((K$1)/10,0)*10,[1]Hugst!$R$4:$W$4,0))))</f>
        <v>838.31063669519915</v>
      </c>
      <c r="L307">
        <f ca="1">IF($C307-L$1&lt;År1,0,K306*(1-VLOOKUP($A307,[1]Hugst!$R$5:$W$9,MATCH(ROUNDUP((L$1)/10,0)*10,[1]Hugst!$R$4:$W$4,0))))</f>
        <v>840.03860751052287</v>
      </c>
      <c r="M307">
        <f ca="1">IF($C307-M$1&lt;År1,0,L306*(1-VLOOKUP($A307,[1]Hugst!$R$5:$W$9,MATCH(ROUNDUP((M$1)/10,0)*10,[1]Hugst!$R$4:$W$4,0))))</f>
        <v>841.7752615962803</v>
      </c>
      <c r="N307">
        <f ca="1">IF($C307-N$1&lt;År1,0,M306*(1-VLOOKUP($A307,[1]Hugst!$R$5:$W$9,MATCH(ROUNDUP((N$1)/10,0)*10,[1]Hugst!$R$4:$W$4,0))))</f>
        <v>843.520642587005</v>
      </c>
      <c r="O307">
        <f ca="1">IF($C307-O$1&lt;År1,0,N306*(1-VLOOKUP($A307,[1]Hugst!$R$5:$W$9,MATCH(ROUNDUP((O$1)/10,0)*10,[1]Hugst!$R$4:$W$4,0))))</f>
        <v>845.27479433645874</v>
      </c>
      <c r="P307">
        <f ca="1">IF($C307-P$1&lt;År1,0,O306*(1-VLOOKUP($A307,[1]Hugst!$R$5:$W$9,MATCH(ROUNDUP((P$1)/10,0)*10,[1]Hugst!$R$4:$W$4,0))))</f>
        <v>847.03776091882662</v>
      </c>
      <c r="Q307">
        <f ca="1">IF($C307-Q$1&lt;År1,0,P306*(1-VLOOKUP($A307,[1]Hugst!$R$5:$W$9,MATCH(ROUNDUP((Q$1)/10,0)*10,[1]Hugst!$R$4:$W$4,0))))</f>
        <v>848.80958662976116</v>
      </c>
      <c r="R307">
        <f ca="1">IF($C307-R$1&lt;År1,0,Q306*(1-VLOOKUP($A307,[1]Hugst!$R$5:$W$9,MATCH(ROUNDUP((R$1)/10,0)*10,[1]Hugst!$R$4:$W$4,0))))</f>
        <v>850.59031598747094</v>
      </c>
      <c r="S307">
        <f ca="1">IF($C307-S$1&lt;År1,0,R306*(1-VLOOKUP($A307,[1]Hugst!$R$5:$W$9,MATCH(ROUNDUP((S$1)/10,0)*10,[1]Hugst!$R$4:$W$4,0))))</f>
        <v>852.37999373391574</v>
      </c>
      <c r="T307">
        <f ca="1">IF($C307-T$1&lt;År1,0,S306*(1-VLOOKUP($A307,[1]Hugst!$R$5:$W$9,MATCH(ROUNDUP((T$1)/10,0)*10,[1]Hugst!$R$4:$W$4,0))))</f>
        <v>854.17866483587784</v>
      </c>
      <c r="U307">
        <f ca="1">IF($C307-U$1&lt;År1,0,T306*(1-VLOOKUP($A307,[1]Hugst!$R$5:$W$9,MATCH(ROUNDUP((U$1)/10,0)*10,[1]Hugst!$R$4:$W$4,0))))</f>
        <v>855.98637448607258</v>
      </c>
      <c r="V307">
        <f ca="1">IF($C307-V$1&lt;År1,0,U306*(1-VLOOKUP($A307,[1]Hugst!$R$5:$W$9,MATCH(ROUNDUP((V$1)/10,0)*10,[1]Hugst!$R$4:$W$4,0))))</f>
        <v>1262.348622649846</v>
      </c>
      <c r="W307">
        <f ca="1">IF($C307-W$1&lt;År1,0,V306*(1-VLOOKUP($A307,[1]Hugst!$R$5:$W$9,MATCH(ROUNDUP((W$1)/10,0)*10,[1]Hugst!$R$4:$W$4,0))))</f>
        <v>1264.1745458843091</v>
      </c>
      <c r="X307">
        <f ca="1">IF($C307-X$1&lt;År1,0,W306*(1-VLOOKUP($A307,[1]Hugst!$R$5:$W$9,MATCH(ROUNDUP((X$1)/10,0)*10,[1]Hugst!$R$4:$W$4,0))))</f>
        <v>1266.0096446124242</v>
      </c>
      <c r="Y307">
        <f ca="1">IF($C307-Y$1&lt;År1,0,X306*(1-VLOOKUP($A307,[1]Hugst!$R$5:$W$9,MATCH(ROUNDUP((Y$1)/10,0)*10,[1]Hugst!$R$4:$W$4,0))))</f>
        <v>1267.8539649421775</v>
      </c>
      <c r="Z307">
        <f ca="1">IF($C307-Z$1&lt;År1,0,Y306*(1-VLOOKUP($A307,[1]Hugst!$R$5:$W$9,MATCH(ROUNDUP((Z$1)/10,0)*10,[1]Hugst!$R$4:$W$4,0))))</f>
        <v>1269.7075532133128</v>
      </c>
      <c r="AA307">
        <f ca="1">IF($C307-AA$1&lt;År1,0,Z306*(1-VLOOKUP($A307,[1]Hugst!$R$5:$W$9,MATCH(ROUNDUP((AA$1)/10,0)*10,[1]Hugst!$R$4:$W$4,0))))</f>
        <v>1271.5704559983385</v>
      </c>
      <c r="AB307">
        <f ca="1">IF($C307-AB$1&lt;År1,0,AA306*(1-VLOOKUP($A307,[1]Hugst!$R$5:$W$9,MATCH(ROUNDUP((AB$1)/10,0)*10,[1]Hugst!$R$4:$W$4,0))))</f>
        <v>1273.4427201039146</v>
      </c>
      <c r="AC307">
        <f ca="1">IF($C307-AC$1&lt;År1,0,AB306*(1-VLOOKUP($A307,[1]Hugst!$R$5:$W$9,MATCH(ROUNDUP((AC$1)/10,0)*10,[1]Hugst!$R$4:$W$4,0))))</f>
        <v>1275.3243925718143</v>
      </c>
      <c r="AD307">
        <f ca="1">IF($C307-AD$1&lt;År1,0,AC306*(1-VLOOKUP($A307,[1]Hugst!$R$5:$W$9,MATCH(ROUNDUP((AD$1)/10,0)*10,[1]Hugst!$R$4:$W$4,0))))</f>
        <v>1277.2155206802759</v>
      </c>
      <c r="AE307">
        <f ca="1">IF($C307-AE$1&lt;År1,0,AD306*(1-VLOOKUP($A307,[1]Hugst!$R$5:$W$9,MATCH(ROUNDUP((AE$1)/10,0)*10,[1]Hugst!$R$4:$W$4,0))))</f>
        <v>1279.1161519450502</v>
      </c>
      <c r="AF307">
        <f ca="1">IF($C307-AF$1&lt;År1,0,AE306*(1-VLOOKUP($A307,[1]Hugst!$R$5:$W$9,MATCH(ROUNDUP((AF$1)/10,0)*10,[1]Hugst!$R$4:$W$4,0))))</f>
        <v>1281.0263341207046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333.67829985713252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828.1227443015772</v>
      </c>
      <c r="G308">
        <f ca="1">IF($C308-G$1&lt;År1,0,F307*(1-VLOOKUP($A308,[1]Hugst!$R$5:$W$9,MATCH(ROUNDUP((G$1)/10,0)*10,[1]Hugst!$R$4:$W$4,0))))</f>
        <v>829.79951967776412</v>
      </c>
      <c r="H308">
        <f ca="1">IF($C308-H$1&lt;År1,0,G307*(1-VLOOKUP($A308,[1]Hugst!$R$5:$W$9,MATCH(ROUNDUP((H$1)/10,0)*10,[1]Hugst!$R$4:$W$4,0))))</f>
        <v>831.48472106083625</v>
      </c>
      <c r="I308">
        <f ca="1">IF($C308-I$1&lt;År1,0,H307*(1-VLOOKUP($A308,[1]Hugst!$R$5:$W$9,MATCH(ROUNDUP((I$1)/10,0)*10,[1]Hugst!$R$4:$W$4,0))))</f>
        <v>833.1783907925759</v>
      </c>
      <c r="J308">
        <f ca="1">IF($C308-J$1&lt;År1,0,I307*(1-VLOOKUP($A308,[1]Hugst!$R$5:$W$9,MATCH(ROUNDUP((J$1)/10,0)*10,[1]Hugst!$R$4:$W$4,0))))</f>
        <v>834.88057142749619</v>
      </c>
      <c r="K308">
        <f ca="1">IF($C308-K$1&lt;År1,0,J307*(1-VLOOKUP($A308,[1]Hugst!$R$5:$W$9,MATCH(ROUNDUP((K$1)/10,0)*10,[1]Hugst!$R$4:$W$4,0))))</f>
        <v>836.59130573394157</v>
      </c>
      <c r="L308">
        <f ca="1">IF($C308-L$1&lt;År1,0,K307*(1-VLOOKUP($A308,[1]Hugst!$R$5:$W$9,MATCH(ROUNDUP((L$1)/10,0)*10,[1]Hugst!$R$4:$W$4,0))))</f>
        <v>838.31063669519915</v>
      </c>
      <c r="M308">
        <f ca="1">IF($C308-M$1&lt;År1,0,L307*(1-VLOOKUP($A308,[1]Hugst!$R$5:$W$9,MATCH(ROUNDUP((M$1)/10,0)*10,[1]Hugst!$R$4:$W$4,0))))</f>
        <v>840.03860751052287</v>
      </c>
      <c r="N308">
        <f ca="1">IF($C308-N$1&lt;År1,0,M307*(1-VLOOKUP($A308,[1]Hugst!$R$5:$W$9,MATCH(ROUNDUP((N$1)/10,0)*10,[1]Hugst!$R$4:$W$4,0))))</f>
        <v>841.7752615962803</v>
      </c>
      <c r="O308">
        <f ca="1">IF($C308-O$1&lt;År1,0,N307*(1-VLOOKUP($A308,[1]Hugst!$R$5:$W$9,MATCH(ROUNDUP((O$1)/10,0)*10,[1]Hugst!$R$4:$W$4,0))))</f>
        <v>843.520642587005</v>
      </c>
      <c r="P308">
        <f ca="1">IF($C308-P$1&lt;År1,0,O307*(1-VLOOKUP($A308,[1]Hugst!$R$5:$W$9,MATCH(ROUNDUP((P$1)/10,0)*10,[1]Hugst!$R$4:$W$4,0))))</f>
        <v>845.27479433645874</v>
      </c>
      <c r="Q308">
        <f ca="1">IF($C308-Q$1&lt;År1,0,P307*(1-VLOOKUP($A308,[1]Hugst!$R$5:$W$9,MATCH(ROUNDUP((Q$1)/10,0)*10,[1]Hugst!$R$4:$W$4,0))))</f>
        <v>847.03776091882662</v>
      </c>
      <c r="R308">
        <f ca="1">IF($C308-R$1&lt;År1,0,Q307*(1-VLOOKUP($A308,[1]Hugst!$R$5:$W$9,MATCH(ROUNDUP((R$1)/10,0)*10,[1]Hugst!$R$4:$W$4,0))))</f>
        <v>848.80958662976116</v>
      </c>
      <c r="S308">
        <f ca="1">IF($C308-S$1&lt;År1,0,R307*(1-VLOOKUP($A308,[1]Hugst!$R$5:$W$9,MATCH(ROUNDUP((S$1)/10,0)*10,[1]Hugst!$R$4:$W$4,0))))</f>
        <v>850.59031598747094</v>
      </c>
      <c r="T308">
        <f ca="1">IF($C308-T$1&lt;År1,0,S307*(1-VLOOKUP($A308,[1]Hugst!$R$5:$W$9,MATCH(ROUNDUP((T$1)/10,0)*10,[1]Hugst!$R$4:$W$4,0))))</f>
        <v>852.37999373391574</v>
      </c>
      <c r="U308">
        <f ca="1">IF($C308-U$1&lt;År1,0,T307*(1-VLOOKUP($A308,[1]Hugst!$R$5:$W$9,MATCH(ROUNDUP((U$1)/10,0)*10,[1]Hugst!$R$4:$W$4,0))))</f>
        <v>854.17866483587784</v>
      </c>
      <c r="V308">
        <f ca="1">IF($C308-V$1&lt;År1,0,U307*(1-VLOOKUP($A308,[1]Hugst!$R$5:$W$9,MATCH(ROUNDUP((V$1)/10,0)*10,[1]Hugst!$R$4:$W$4,0))))</f>
        <v>855.98637448607258</v>
      </c>
      <c r="W308">
        <f ca="1">IF($C308-W$1&lt;År1,0,V307*(1-VLOOKUP($A308,[1]Hugst!$R$5:$W$9,MATCH(ROUNDUP((W$1)/10,0)*10,[1]Hugst!$R$4:$W$4,0))))</f>
        <v>1262.348622649846</v>
      </c>
      <c r="X308">
        <f ca="1">IF($C308-X$1&lt;År1,0,W307*(1-VLOOKUP($A308,[1]Hugst!$R$5:$W$9,MATCH(ROUNDUP((X$1)/10,0)*10,[1]Hugst!$R$4:$W$4,0))))</f>
        <v>1264.1745458843091</v>
      </c>
      <c r="Y308">
        <f ca="1">IF($C308-Y$1&lt;År1,0,X307*(1-VLOOKUP($A308,[1]Hugst!$R$5:$W$9,MATCH(ROUNDUP((Y$1)/10,0)*10,[1]Hugst!$R$4:$W$4,0))))</f>
        <v>1266.0096446124242</v>
      </c>
      <c r="Z308">
        <f ca="1">IF($C308-Z$1&lt;År1,0,Y307*(1-VLOOKUP($A308,[1]Hugst!$R$5:$W$9,MATCH(ROUNDUP((Z$1)/10,0)*10,[1]Hugst!$R$4:$W$4,0))))</f>
        <v>1267.8539649421775</v>
      </c>
      <c r="AA308">
        <f ca="1">IF($C308-AA$1&lt;År1,0,Z307*(1-VLOOKUP($A308,[1]Hugst!$R$5:$W$9,MATCH(ROUNDUP((AA$1)/10,0)*10,[1]Hugst!$R$4:$W$4,0))))</f>
        <v>1269.7075532133128</v>
      </c>
      <c r="AB308">
        <f ca="1">IF($C308-AB$1&lt;År1,0,AA307*(1-VLOOKUP($A308,[1]Hugst!$R$5:$W$9,MATCH(ROUNDUP((AB$1)/10,0)*10,[1]Hugst!$R$4:$W$4,0))))</f>
        <v>1271.5704559983385</v>
      </c>
      <c r="AC308">
        <f ca="1">IF($C308-AC$1&lt;År1,0,AB307*(1-VLOOKUP($A308,[1]Hugst!$R$5:$W$9,MATCH(ROUNDUP((AC$1)/10,0)*10,[1]Hugst!$R$4:$W$4,0))))</f>
        <v>1273.4427201039146</v>
      </c>
      <c r="AD308">
        <f ca="1">IF($C308-AD$1&lt;År1,0,AC307*(1-VLOOKUP($A308,[1]Hugst!$R$5:$W$9,MATCH(ROUNDUP((AD$1)/10,0)*10,[1]Hugst!$R$4:$W$4,0))))</f>
        <v>1275.3243925718143</v>
      </c>
      <c r="AE308">
        <f ca="1">IF($C308-AE$1&lt;År1,0,AD307*(1-VLOOKUP($A308,[1]Hugst!$R$5:$W$9,MATCH(ROUNDUP((AE$1)/10,0)*10,[1]Hugst!$R$4:$W$4,0))))</f>
        <v>1277.2155206802759</v>
      </c>
      <c r="AF308">
        <f ca="1">IF($C308-AF$1&lt;År1,0,AE307*(1-VLOOKUP($A308,[1]Hugst!$R$5:$W$9,MATCH(ROUNDUP((AF$1)/10,0)*10,[1]Hugst!$R$4:$W$4,0))))</f>
        <v>1279.1161519450502</v>
      </c>
      <c r="AG308">
        <f ca="1">IF($C308-AG$1&lt;År1,0,AF307*(1-VLOOKUP($A308,[1]Hugst!$R$5:$W$9,MATCH(ROUNDUP((AG$1)/10,0)*10,[1]Hugst!$R$4:$W$4,0))))</f>
        <v>1281.0263341207046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332.00990835785342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826.4543528022981</v>
      </c>
      <c r="G309">
        <f ca="1">IF($C309-G$1&lt;År1,0,F308*(1-VLOOKUP($A309,[1]Hugst!$R$5:$W$9,MATCH(ROUNDUP((G$1)/10,0)*10,[1]Hugst!$R$4:$W$4,0))))</f>
        <v>828.1227443015772</v>
      </c>
      <c r="H309">
        <f ca="1">IF($C309-H$1&lt;År1,0,G308*(1-VLOOKUP($A309,[1]Hugst!$R$5:$W$9,MATCH(ROUNDUP((H$1)/10,0)*10,[1]Hugst!$R$4:$W$4,0))))</f>
        <v>829.79951967776412</v>
      </c>
      <c r="I309">
        <f ca="1">IF($C309-I$1&lt;År1,0,H308*(1-VLOOKUP($A309,[1]Hugst!$R$5:$W$9,MATCH(ROUNDUP((I$1)/10,0)*10,[1]Hugst!$R$4:$W$4,0))))</f>
        <v>831.48472106083625</v>
      </c>
      <c r="J309">
        <f ca="1">IF($C309-J$1&lt;År1,0,I308*(1-VLOOKUP($A309,[1]Hugst!$R$5:$W$9,MATCH(ROUNDUP((J$1)/10,0)*10,[1]Hugst!$R$4:$W$4,0))))</f>
        <v>833.1783907925759</v>
      </c>
      <c r="K309">
        <f ca="1">IF($C309-K$1&lt;År1,0,J308*(1-VLOOKUP($A309,[1]Hugst!$R$5:$W$9,MATCH(ROUNDUP((K$1)/10,0)*10,[1]Hugst!$R$4:$W$4,0))))</f>
        <v>834.88057142749619</v>
      </c>
      <c r="L309">
        <f ca="1">IF($C309-L$1&lt;År1,0,K308*(1-VLOOKUP($A309,[1]Hugst!$R$5:$W$9,MATCH(ROUNDUP((L$1)/10,0)*10,[1]Hugst!$R$4:$W$4,0))))</f>
        <v>836.59130573394157</v>
      </c>
      <c r="M309">
        <f ca="1">IF($C309-M$1&lt;År1,0,L308*(1-VLOOKUP($A309,[1]Hugst!$R$5:$W$9,MATCH(ROUNDUP((M$1)/10,0)*10,[1]Hugst!$R$4:$W$4,0))))</f>
        <v>838.31063669519915</v>
      </c>
      <c r="N309">
        <f ca="1">IF($C309-N$1&lt;År1,0,M308*(1-VLOOKUP($A309,[1]Hugst!$R$5:$W$9,MATCH(ROUNDUP((N$1)/10,0)*10,[1]Hugst!$R$4:$W$4,0))))</f>
        <v>840.03860751052287</v>
      </c>
      <c r="O309">
        <f ca="1">IF($C309-O$1&lt;År1,0,N308*(1-VLOOKUP($A309,[1]Hugst!$R$5:$W$9,MATCH(ROUNDUP((O$1)/10,0)*10,[1]Hugst!$R$4:$W$4,0))))</f>
        <v>841.7752615962803</v>
      </c>
      <c r="P309">
        <f ca="1">IF($C309-P$1&lt;År1,0,O308*(1-VLOOKUP($A309,[1]Hugst!$R$5:$W$9,MATCH(ROUNDUP((P$1)/10,0)*10,[1]Hugst!$R$4:$W$4,0))))</f>
        <v>843.520642587005</v>
      </c>
      <c r="Q309">
        <f ca="1">IF($C309-Q$1&lt;År1,0,P308*(1-VLOOKUP($A309,[1]Hugst!$R$5:$W$9,MATCH(ROUNDUP((Q$1)/10,0)*10,[1]Hugst!$R$4:$W$4,0))))</f>
        <v>845.27479433645874</v>
      </c>
      <c r="R309">
        <f ca="1">IF($C309-R$1&lt;År1,0,Q308*(1-VLOOKUP($A309,[1]Hugst!$R$5:$W$9,MATCH(ROUNDUP((R$1)/10,0)*10,[1]Hugst!$R$4:$W$4,0))))</f>
        <v>847.03776091882662</v>
      </c>
      <c r="S309">
        <f ca="1">IF($C309-S$1&lt;År1,0,R308*(1-VLOOKUP($A309,[1]Hugst!$R$5:$W$9,MATCH(ROUNDUP((S$1)/10,0)*10,[1]Hugst!$R$4:$W$4,0))))</f>
        <v>848.80958662976116</v>
      </c>
      <c r="T309">
        <f ca="1">IF($C309-T$1&lt;År1,0,S308*(1-VLOOKUP($A309,[1]Hugst!$R$5:$W$9,MATCH(ROUNDUP((T$1)/10,0)*10,[1]Hugst!$R$4:$W$4,0))))</f>
        <v>850.59031598747094</v>
      </c>
      <c r="U309">
        <f ca="1">IF($C309-U$1&lt;År1,0,T308*(1-VLOOKUP($A309,[1]Hugst!$R$5:$W$9,MATCH(ROUNDUP((U$1)/10,0)*10,[1]Hugst!$R$4:$W$4,0))))</f>
        <v>852.37999373391574</v>
      </c>
      <c r="V309">
        <f ca="1">IF($C309-V$1&lt;År1,0,U308*(1-VLOOKUP($A309,[1]Hugst!$R$5:$W$9,MATCH(ROUNDUP((V$1)/10,0)*10,[1]Hugst!$R$4:$W$4,0))))</f>
        <v>854.17866483587784</v>
      </c>
      <c r="W309">
        <f ca="1">IF($C309-W$1&lt;År1,0,V308*(1-VLOOKUP($A309,[1]Hugst!$R$5:$W$9,MATCH(ROUNDUP((W$1)/10,0)*10,[1]Hugst!$R$4:$W$4,0))))</f>
        <v>855.98637448607258</v>
      </c>
      <c r="X309">
        <f ca="1">IF($C309-X$1&lt;År1,0,W308*(1-VLOOKUP($A309,[1]Hugst!$R$5:$W$9,MATCH(ROUNDUP((X$1)/10,0)*10,[1]Hugst!$R$4:$W$4,0))))</f>
        <v>1262.348622649846</v>
      </c>
      <c r="Y309">
        <f ca="1">IF($C309-Y$1&lt;År1,0,X308*(1-VLOOKUP($A309,[1]Hugst!$R$5:$W$9,MATCH(ROUNDUP((Y$1)/10,0)*10,[1]Hugst!$R$4:$W$4,0))))</f>
        <v>1264.1745458843091</v>
      </c>
      <c r="Z309">
        <f ca="1">IF($C309-Z$1&lt;År1,0,Y308*(1-VLOOKUP($A309,[1]Hugst!$R$5:$W$9,MATCH(ROUNDUP((Z$1)/10,0)*10,[1]Hugst!$R$4:$W$4,0))))</f>
        <v>1266.0096446124242</v>
      </c>
      <c r="AA309">
        <f ca="1">IF($C309-AA$1&lt;År1,0,Z308*(1-VLOOKUP($A309,[1]Hugst!$R$5:$W$9,MATCH(ROUNDUP((AA$1)/10,0)*10,[1]Hugst!$R$4:$W$4,0))))</f>
        <v>1267.8539649421775</v>
      </c>
      <c r="AB309">
        <f ca="1">IF($C309-AB$1&lt;År1,0,AA308*(1-VLOOKUP($A309,[1]Hugst!$R$5:$W$9,MATCH(ROUNDUP((AB$1)/10,0)*10,[1]Hugst!$R$4:$W$4,0))))</f>
        <v>1269.7075532133128</v>
      </c>
      <c r="AC309">
        <f ca="1">IF($C309-AC$1&lt;År1,0,AB308*(1-VLOOKUP($A309,[1]Hugst!$R$5:$W$9,MATCH(ROUNDUP((AC$1)/10,0)*10,[1]Hugst!$R$4:$W$4,0))))</f>
        <v>1271.5704559983385</v>
      </c>
      <c r="AD309">
        <f ca="1">IF($C309-AD$1&lt;År1,0,AC308*(1-VLOOKUP($A309,[1]Hugst!$R$5:$W$9,MATCH(ROUNDUP((AD$1)/10,0)*10,[1]Hugst!$R$4:$W$4,0))))</f>
        <v>1273.4427201039146</v>
      </c>
      <c r="AE309">
        <f ca="1">IF($C309-AE$1&lt;År1,0,AD308*(1-VLOOKUP($A309,[1]Hugst!$R$5:$W$9,MATCH(ROUNDUP((AE$1)/10,0)*10,[1]Hugst!$R$4:$W$4,0))))</f>
        <v>1275.3243925718143</v>
      </c>
      <c r="AF309">
        <f ca="1">IF($C309-AF$1&lt;År1,0,AE308*(1-VLOOKUP($A309,[1]Hugst!$R$5:$W$9,MATCH(ROUNDUP((AF$1)/10,0)*10,[1]Hugst!$R$4:$W$4,0))))</f>
        <v>1277.2155206802759</v>
      </c>
      <c r="AG309">
        <f ca="1">IF($C309-AG$1&lt;År1,0,AF308*(1-VLOOKUP($A309,[1]Hugst!$R$5:$W$9,MATCH(ROUNDUP((AG$1)/10,0)*10,[1]Hugst!$R$4:$W$4,0))))</f>
        <v>1279.1161519450502</v>
      </c>
      <c r="AH309">
        <f ca="1">IF($C309-AH$1&lt;År1,0,AG308*(1-VLOOKUP($A309,[1]Hugst!$R$5:$W$9,MATCH(ROUNDUP((AH$1)/10,0)*10,[1]Hugst!$R$4:$W$4,0))))</f>
        <v>1281.0263341207046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330.34985881607463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824.79430326051931</v>
      </c>
      <c r="G310">
        <f ca="1">IF($C310-G$1&lt;År1,0,F309*(1-VLOOKUP($A310,[1]Hugst!$R$5:$W$9,MATCH(ROUNDUP((G$1)/10,0)*10,[1]Hugst!$R$4:$W$4,0))))</f>
        <v>826.4543528022981</v>
      </c>
      <c r="H310">
        <f ca="1">IF($C310-H$1&lt;År1,0,G309*(1-VLOOKUP($A310,[1]Hugst!$R$5:$W$9,MATCH(ROUNDUP((H$1)/10,0)*10,[1]Hugst!$R$4:$W$4,0))))</f>
        <v>828.1227443015772</v>
      </c>
      <c r="I310">
        <f ca="1">IF($C310-I$1&lt;År1,0,H309*(1-VLOOKUP($A310,[1]Hugst!$R$5:$W$9,MATCH(ROUNDUP((I$1)/10,0)*10,[1]Hugst!$R$4:$W$4,0))))</f>
        <v>829.79951967776412</v>
      </c>
      <c r="J310">
        <f ca="1">IF($C310-J$1&lt;År1,0,I309*(1-VLOOKUP($A310,[1]Hugst!$R$5:$W$9,MATCH(ROUNDUP((J$1)/10,0)*10,[1]Hugst!$R$4:$W$4,0))))</f>
        <v>831.48472106083625</v>
      </c>
      <c r="K310">
        <f ca="1">IF($C310-K$1&lt;År1,0,J309*(1-VLOOKUP($A310,[1]Hugst!$R$5:$W$9,MATCH(ROUNDUP((K$1)/10,0)*10,[1]Hugst!$R$4:$W$4,0))))</f>
        <v>833.1783907925759</v>
      </c>
      <c r="L310">
        <f ca="1">IF($C310-L$1&lt;År1,0,K309*(1-VLOOKUP($A310,[1]Hugst!$R$5:$W$9,MATCH(ROUNDUP((L$1)/10,0)*10,[1]Hugst!$R$4:$W$4,0))))</f>
        <v>834.88057142749619</v>
      </c>
      <c r="M310">
        <f ca="1">IF($C310-M$1&lt;År1,0,L309*(1-VLOOKUP($A310,[1]Hugst!$R$5:$W$9,MATCH(ROUNDUP((M$1)/10,0)*10,[1]Hugst!$R$4:$W$4,0))))</f>
        <v>836.59130573394157</v>
      </c>
      <c r="N310">
        <f ca="1">IF($C310-N$1&lt;År1,0,M309*(1-VLOOKUP($A310,[1]Hugst!$R$5:$W$9,MATCH(ROUNDUP((N$1)/10,0)*10,[1]Hugst!$R$4:$W$4,0))))</f>
        <v>838.31063669519915</v>
      </c>
      <c r="O310">
        <f ca="1">IF($C310-O$1&lt;År1,0,N309*(1-VLOOKUP($A310,[1]Hugst!$R$5:$W$9,MATCH(ROUNDUP((O$1)/10,0)*10,[1]Hugst!$R$4:$W$4,0))))</f>
        <v>840.03860751052287</v>
      </c>
      <c r="P310">
        <f ca="1">IF($C310-P$1&lt;År1,0,O309*(1-VLOOKUP($A310,[1]Hugst!$R$5:$W$9,MATCH(ROUNDUP((P$1)/10,0)*10,[1]Hugst!$R$4:$W$4,0))))</f>
        <v>841.7752615962803</v>
      </c>
      <c r="Q310">
        <f ca="1">IF($C310-Q$1&lt;År1,0,P309*(1-VLOOKUP($A310,[1]Hugst!$R$5:$W$9,MATCH(ROUNDUP((Q$1)/10,0)*10,[1]Hugst!$R$4:$W$4,0))))</f>
        <v>843.520642587005</v>
      </c>
      <c r="R310">
        <f ca="1">IF($C310-R$1&lt;År1,0,Q309*(1-VLOOKUP($A310,[1]Hugst!$R$5:$W$9,MATCH(ROUNDUP((R$1)/10,0)*10,[1]Hugst!$R$4:$W$4,0))))</f>
        <v>845.27479433645874</v>
      </c>
      <c r="S310">
        <f ca="1">IF($C310-S$1&lt;År1,0,R309*(1-VLOOKUP($A310,[1]Hugst!$R$5:$W$9,MATCH(ROUNDUP((S$1)/10,0)*10,[1]Hugst!$R$4:$W$4,0))))</f>
        <v>847.03776091882662</v>
      </c>
      <c r="T310">
        <f ca="1">IF($C310-T$1&lt;År1,0,S309*(1-VLOOKUP($A310,[1]Hugst!$R$5:$W$9,MATCH(ROUNDUP((T$1)/10,0)*10,[1]Hugst!$R$4:$W$4,0))))</f>
        <v>848.80958662976116</v>
      </c>
      <c r="U310">
        <f ca="1">IF($C310-U$1&lt;År1,0,T309*(1-VLOOKUP($A310,[1]Hugst!$R$5:$W$9,MATCH(ROUNDUP((U$1)/10,0)*10,[1]Hugst!$R$4:$W$4,0))))</f>
        <v>850.59031598747094</v>
      </c>
      <c r="V310">
        <f ca="1">IF($C310-V$1&lt;År1,0,U309*(1-VLOOKUP($A310,[1]Hugst!$R$5:$W$9,MATCH(ROUNDUP((V$1)/10,0)*10,[1]Hugst!$R$4:$W$4,0))))</f>
        <v>852.37999373391574</v>
      </c>
      <c r="W310">
        <f ca="1">IF($C310-W$1&lt;År1,0,V309*(1-VLOOKUP($A310,[1]Hugst!$R$5:$W$9,MATCH(ROUNDUP((W$1)/10,0)*10,[1]Hugst!$R$4:$W$4,0))))</f>
        <v>854.17866483587784</v>
      </c>
      <c r="X310">
        <f ca="1">IF($C310-X$1&lt;År1,0,W309*(1-VLOOKUP($A310,[1]Hugst!$R$5:$W$9,MATCH(ROUNDUP((X$1)/10,0)*10,[1]Hugst!$R$4:$W$4,0))))</f>
        <v>855.98637448607258</v>
      </c>
      <c r="Y310">
        <f ca="1">IF($C310-Y$1&lt;År1,0,X309*(1-VLOOKUP($A310,[1]Hugst!$R$5:$W$9,MATCH(ROUNDUP((Y$1)/10,0)*10,[1]Hugst!$R$4:$W$4,0))))</f>
        <v>1262.348622649846</v>
      </c>
      <c r="Z310">
        <f ca="1">IF($C310-Z$1&lt;År1,0,Y309*(1-VLOOKUP($A310,[1]Hugst!$R$5:$W$9,MATCH(ROUNDUP((Z$1)/10,0)*10,[1]Hugst!$R$4:$W$4,0))))</f>
        <v>1264.1745458843091</v>
      </c>
      <c r="AA310">
        <f ca="1">IF($C310-AA$1&lt;År1,0,Z309*(1-VLOOKUP($A310,[1]Hugst!$R$5:$W$9,MATCH(ROUNDUP((AA$1)/10,0)*10,[1]Hugst!$R$4:$W$4,0))))</f>
        <v>1266.0096446124242</v>
      </c>
      <c r="AB310">
        <f ca="1">IF($C310-AB$1&lt;År1,0,AA309*(1-VLOOKUP($A310,[1]Hugst!$R$5:$W$9,MATCH(ROUNDUP((AB$1)/10,0)*10,[1]Hugst!$R$4:$W$4,0))))</f>
        <v>1267.8539649421775</v>
      </c>
      <c r="AC310">
        <f ca="1">IF($C310-AC$1&lt;År1,0,AB309*(1-VLOOKUP($A310,[1]Hugst!$R$5:$W$9,MATCH(ROUNDUP((AC$1)/10,0)*10,[1]Hugst!$R$4:$W$4,0))))</f>
        <v>1269.7075532133128</v>
      </c>
      <c r="AD310">
        <f ca="1">IF($C310-AD$1&lt;År1,0,AC309*(1-VLOOKUP($A310,[1]Hugst!$R$5:$W$9,MATCH(ROUNDUP((AD$1)/10,0)*10,[1]Hugst!$R$4:$W$4,0))))</f>
        <v>1271.5704559983385</v>
      </c>
      <c r="AE310">
        <f ca="1">IF($C310-AE$1&lt;År1,0,AD309*(1-VLOOKUP($A310,[1]Hugst!$R$5:$W$9,MATCH(ROUNDUP((AE$1)/10,0)*10,[1]Hugst!$R$4:$W$4,0))))</f>
        <v>1273.4427201039146</v>
      </c>
      <c r="AF310">
        <f ca="1">IF($C310-AF$1&lt;År1,0,AE309*(1-VLOOKUP($A310,[1]Hugst!$R$5:$W$9,MATCH(ROUNDUP((AF$1)/10,0)*10,[1]Hugst!$R$4:$W$4,0))))</f>
        <v>1275.3243925718143</v>
      </c>
      <c r="AG310">
        <f ca="1">IF($C310-AG$1&lt;År1,0,AF309*(1-VLOOKUP($A310,[1]Hugst!$R$5:$W$9,MATCH(ROUNDUP((AG$1)/10,0)*10,[1]Hugst!$R$4:$W$4,0))))</f>
        <v>1277.2155206802759</v>
      </c>
      <c r="AH310">
        <f ca="1">IF($C310-AH$1&lt;År1,0,AG309*(1-VLOOKUP($A310,[1]Hugst!$R$5:$W$9,MATCH(ROUNDUP((AH$1)/10,0)*10,[1]Hugst!$R$4:$W$4,0))))</f>
        <v>1279.1161519450502</v>
      </c>
      <c r="AI310">
        <f ca="1">IF($C310-AI$1&lt;År1,0,AH309*(1-VLOOKUP($A310,[1]Hugst!$R$5:$W$9,MATCH(ROUNDUP((AI$1)/10,0)*10,[1]Hugst!$R$4:$W$4,0))))</f>
        <v>1281.0263341207046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328.69810952199077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823.14255396643546</v>
      </c>
      <c r="G311">
        <f ca="1">IF($C311-G$1&lt;År1,0,F310*(1-VLOOKUP($A311,[1]Hugst!$R$5:$W$9,MATCH(ROUNDUP((G$1)/10,0)*10,[1]Hugst!$R$4:$W$4,0))))</f>
        <v>824.79430326051931</v>
      </c>
      <c r="H311">
        <f ca="1">IF($C311-H$1&lt;År1,0,G310*(1-VLOOKUP($A311,[1]Hugst!$R$5:$W$9,MATCH(ROUNDUP((H$1)/10,0)*10,[1]Hugst!$R$4:$W$4,0))))</f>
        <v>826.4543528022981</v>
      </c>
      <c r="I311">
        <f ca="1">IF($C311-I$1&lt;År1,0,H310*(1-VLOOKUP($A311,[1]Hugst!$R$5:$W$9,MATCH(ROUNDUP((I$1)/10,0)*10,[1]Hugst!$R$4:$W$4,0))))</f>
        <v>828.1227443015772</v>
      </c>
      <c r="J311">
        <f ca="1">IF($C311-J$1&lt;År1,0,I310*(1-VLOOKUP($A311,[1]Hugst!$R$5:$W$9,MATCH(ROUNDUP((J$1)/10,0)*10,[1]Hugst!$R$4:$W$4,0))))</f>
        <v>829.79951967776412</v>
      </c>
      <c r="K311">
        <f ca="1">IF($C311-K$1&lt;År1,0,J310*(1-VLOOKUP($A311,[1]Hugst!$R$5:$W$9,MATCH(ROUNDUP((K$1)/10,0)*10,[1]Hugst!$R$4:$W$4,0))))</f>
        <v>831.48472106083625</v>
      </c>
      <c r="L311">
        <f ca="1">IF($C311-L$1&lt;År1,0,K310*(1-VLOOKUP($A311,[1]Hugst!$R$5:$W$9,MATCH(ROUNDUP((L$1)/10,0)*10,[1]Hugst!$R$4:$W$4,0))))</f>
        <v>833.1783907925759</v>
      </c>
      <c r="M311">
        <f ca="1">IF($C311-M$1&lt;År1,0,L310*(1-VLOOKUP($A311,[1]Hugst!$R$5:$W$9,MATCH(ROUNDUP((M$1)/10,0)*10,[1]Hugst!$R$4:$W$4,0))))</f>
        <v>834.88057142749619</v>
      </c>
      <c r="N311">
        <f ca="1">IF($C311-N$1&lt;År1,0,M310*(1-VLOOKUP($A311,[1]Hugst!$R$5:$W$9,MATCH(ROUNDUP((N$1)/10,0)*10,[1]Hugst!$R$4:$W$4,0))))</f>
        <v>836.59130573394157</v>
      </c>
      <c r="O311">
        <f ca="1">IF($C311-O$1&lt;År1,0,N310*(1-VLOOKUP($A311,[1]Hugst!$R$5:$W$9,MATCH(ROUNDUP((O$1)/10,0)*10,[1]Hugst!$R$4:$W$4,0))))</f>
        <v>838.31063669519915</v>
      </c>
      <c r="P311">
        <f ca="1">IF($C311-P$1&lt;År1,0,O310*(1-VLOOKUP($A311,[1]Hugst!$R$5:$W$9,MATCH(ROUNDUP((P$1)/10,0)*10,[1]Hugst!$R$4:$W$4,0))))</f>
        <v>840.03860751052287</v>
      </c>
      <c r="Q311">
        <f ca="1">IF($C311-Q$1&lt;År1,0,P310*(1-VLOOKUP($A311,[1]Hugst!$R$5:$W$9,MATCH(ROUNDUP((Q$1)/10,0)*10,[1]Hugst!$R$4:$W$4,0))))</f>
        <v>841.7752615962803</v>
      </c>
      <c r="R311">
        <f ca="1">IF($C311-R$1&lt;År1,0,Q310*(1-VLOOKUP($A311,[1]Hugst!$R$5:$W$9,MATCH(ROUNDUP((R$1)/10,0)*10,[1]Hugst!$R$4:$W$4,0))))</f>
        <v>843.520642587005</v>
      </c>
      <c r="S311">
        <f ca="1">IF($C311-S$1&lt;År1,0,R310*(1-VLOOKUP($A311,[1]Hugst!$R$5:$W$9,MATCH(ROUNDUP((S$1)/10,0)*10,[1]Hugst!$R$4:$W$4,0))))</f>
        <v>845.27479433645874</v>
      </c>
      <c r="T311">
        <f ca="1">IF($C311-T$1&lt;År1,0,S310*(1-VLOOKUP($A311,[1]Hugst!$R$5:$W$9,MATCH(ROUNDUP((T$1)/10,0)*10,[1]Hugst!$R$4:$W$4,0))))</f>
        <v>847.03776091882662</v>
      </c>
      <c r="U311">
        <f ca="1">IF($C311-U$1&lt;År1,0,T310*(1-VLOOKUP($A311,[1]Hugst!$R$5:$W$9,MATCH(ROUNDUP((U$1)/10,0)*10,[1]Hugst!$R$4:$W$4,0))))</f>
        <v>848.80958662976116</v>
      </c>
      <c r="V311">
        <f ca="1">IF($C311-V$1&lt;År1,0,U310*(1-VLOOKUP($A311,[1]Hugst!$R$5:$W$9,MATCH(ROUNDUP((V$1)/10,0)*10,[1]Hugst!$R$4:$W$4,0))))</f>
        <v>850.59031598747094</v>
      </c>
      <c r="W311">
        <f ca="1">IF($C311-W$1&lt;År1,0,V310*(1-VLOOKUP($A311,[1]Hugst!$R$5:$W$9,MATCH(ROUNDUP((W$1)/10,0)*10,[1]Hugst!$R$4:$W$4,0))))</f>
        <v>852.37999373391574</v>
      </c>
      <c r="X311">
        <f ca="1">IF($C311-X$1&lt;År1,0,W310*(1-VLOOKUP($A311,[1]Hugst!$R$5:$W$9,MATCH(ROUNDUP((X$1)/10,0)*10,[1]Hugst!$R$4:$W$4,0))))</f>
        <v>854.17866483587784</v>
      </c>
      <c r="Y311">
        <f ca="1">IF($C311-Y$1&lt;År1,0,X310*(1-VLOOKUP($A311,[1]Hugst!$R$5:$W$9,MATCH(ROUNDUP((Y$1)/10,0)*10,[1]Hugst!$R$4:$W$4,0))))</f>
        <v>855.98637448607258</v>
      </c>
      <c r="Z311">
        <f ca="1">IF($C311-Z$1&lt;År1,0,Y310*(1-VLOOKUP($A311,[1]Hugst!$R$5:$W$9,MATCH(ROUNDUP((Z$1)/10,0)*10,[1]Hugst!$R$4:$W$4,0))))</f>
        <v>1262.348622649846</v>
      </c>
      <c r="AA311">
        <f ca="1">IF($C311-AA$1&lt;År1,0,Z310*(1-VLOOKUP($A311,[1]Hugst!$R$5:$W$9,MATCH(ROUNDUP((AA$1)/10,0)*10,[1]Hugst!$R$4:$W$4,0))))</f>
        <v>1264.1745458843091</v>
      </c>
      <c r="AB311">
        <f ca="1">IF($C311-AB$1&lt;År1,0,AA310*(1-VLOOKUP($A311,[1]Hugst!$R$5:$W$9,MATCH(ROUNDUP((AB$1)/10,0)*10,[1]Hugst!$R$4:$W$4,0))))</f>
        <v>1266.0096446124242</v>
      </c>
      <c r="AC311">
        <f ca="1">IF($C311-AC$1&lt;År1,0,AB310*(1-VLOOKUP($A311,[1]Hugst!$R$5:$W$9,MATCH(ROUNDUP((AC$1)/10,0)*10,[1]Hugst!$R$4:$W$4,0))))</f>
        <v>1267.8539649421775</v>
      </c>
      <c r="AD311">
        <f ca="1">IF($C311-AD$1&lt;År1,0,AC310*(1-VLOOKUP($A311,[1]Hugst!$R$5:$W$9,MATCH(ROUNDUP((AD$1)/10,0)*10,[1]Hugst!$R$4:$W$4,0))))</f>
        <v>1269.7075532133128</v>
      </c>
      <c r="AE311">
        <f ca="1">IF($C311-AE$1&lt;År1,0,AD310*(1-VLOOKUP($A311,[1]Hugst!$R$5:$W$9,MATCH(ROUNDUP((AE$1)/10,0)*10,[1]Hugst!$R$4:$W$4,0))))</f>
        <v>1271.5704559983385</v>
      </c>
      <c r="AF311">
        <f ca="1">IF($C311-AF$1&lt;År1,0,AE310*(1-VLOOKUP($A311,[1]Hugst!$R$5:$W$9,MATCH(ROUNDUP((AF$1)/10,0)*10,[1]Hugst!$R$4:$W$4,0))))</f>
        <v>1273.4427201039146</v>
      </c>
      <c r="AG311">
        <f ca="1">IF($C311-AG$1&lt;År1,0,AF310*(1-VLOOKUP($A311,[1]Hugst!$R$5:$W$9,MATCH(ROUNDUP((AG$1)/10,0)*10,[1]Hugst!$R$4:$W$4,0))))</f>
        <v>1275.3243925718143</v>
      </c>
      <c r="AH311">
        <f ca="1">IF($C311-AH$1&lt;År1,0,AG310*(1-VLOOKUP($A311,[1]Hugst!$R$5:$W$9,MATCH(ROUNDUP((AH$1)/10,0)*10,[1]Hugst!$R$4:$W$4,0))))</f>
        <v>1277.2155206802759</v>
      </c>
      <c r="AI311">
        <f ca="1">IF($C311-AI$1&lt;År1,0,AH310*(1-VLOOKUP($A311,[1]Hugst!$R$5:$W$9,MATCH(ROUNDUP((AI$1)/10,0)*10,[1]Hugst!$R$4:$W$4,0))))</f>
        <v>1279.1161519450502</v>
      </c>
      <c r="AJ311">
        <f ca="1">IF($C311-AJ$1&lt;År1,0,AI310*(1-VLOOKUP($A311,[1]Hugst!$R$5:$W$9,MATCH(ROUNDUP((AJ$1)/10,0)*10,[1]Hugst!$R$4:$W$4,0))))</f>
        <v>1281.0263341207046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opLeftCell="A3" workbookViewId="0">
      <selection activeCell="C6" sqref="C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270</v>
      </c>
      <c r="F1" s="73"/>
    </row>
    <row r="2" spans="1:7" s="296" customFormat="1" x14ac:dyDescent="0.25">
      <c r="A2" s="295"/>
      <c r="C2" s="433" t="s">
        <v>315</v>
      </c>
      <c r="D2" s="433"/>
      <c r="E2" s="433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316</v>
      </c>
      <c r="G3" s="1" t="s">
        <v>313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34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34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35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35"/>
    </row>
    <row r="8" spans="1:7" x14ac:dyDescent="0.25">
      <c r="A8" s="294"/>
      <c r="C8" s="1" t="s">
        <v>239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270</v>
      </c>
    </row>
    <row r="2" spans="1:10" ht="15.75" x14ac:dyDescent="0.25">
      <c r="A2" s="201" t="s">
        <v>25</v>
      </c>
    </row>
    <row r="3" spans="1:10" x14ac:dyDescent="0.25">
      <c r="A3" s="6" t="s">
        <v>300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319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219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666209.0402789081</v>
      </c>
      <c r="J5" s="10">
        <f>SUMIFS('Resultat-Produktion &amp; forbrug'!$O$4:$O$1001,'Resultat-Produktion &amp; forbrug'!$A$4:$A$1001,Adfærd!$G5,'Resultat-Produktion &amp; forbrug'!$E$4:$E$1001,Adfærd!J$4)</f>
        <v>885448.63284387637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76.5</v>
      </c>
      <c r="J7" s="10">
        <f>SUMIFS('Resultat-Produktion &amp; forbrug'!$O$4:$O$1001,'Resultat-Produktion &amp; forbrug'!$A$4:$A$1001,Adfærd!$G7,'Resultat-Produktion &amp; forbrug'!$E$4:$E$1001,Adfærd!J$4)</f>
        <v>76.5</v>
      </c>
    </row>
    <row r="8" spans="1:10" x14ac:dyDescent="0.25">
      <c r="A8" s="2" t="s">
        <v>205</v>
      </c>
      <c r="B8" s="84">
        <v>0</v>
      </c>
      <c r="C8" s="3"/>
      <c r="D8" s="3"/>
    </row>
    <row r="9" spans="1:10" x14ac:dyDescent="0.25">
      <c r="A9" s="1" t="s">
        <v>220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317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318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204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206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205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312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7" sqref="E17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270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39" t="s">
        <v>322</v>
      </c>
      <c r="G2" s="440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0.83489841544217558</v>
      </c>
      <c r="AC3" s="207">
        <f>SUM(E12:E14)/SUM(E12:E15)</f>
        <v>2.4623026001832887E-2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201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0.27914973386251568</v>
      </c>
      <c r="AC5" s="319">
        <f t="shared" si="0"/>
        <v>0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0.15096412969466322</v>
      </c>
      <c r="AC6" s="319">
        <f t="shared" si="0"/>
        <v>6.6490676392982877E-3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207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37" t="s">
        <v>209</v>
      </c>
      <c r="D10" s="437"/>
      <c r="E10" s="437"/>
      <c r="F10" s="436" t="s">
        <v>323</v>
      </c>
      <c r="G10" s="436"/>
      <c r="J10" s="438" t="s">
        <v>210</v>
      </c>
      <c r="K10" s="438"/>
      <c r="L10" s="438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213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9013613.7096774187</v>
      </c>
      <c r="E12" s="118">
        <f>SUMIFS('Resultater - Danmark'!J$3:J$504,'Resultater - Danmark'!$F$3:$F$504,$A12)*D3</f>
        <v>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3004537.9032258056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0.27914973386251568</v>
      </c>
      <c r="L12" s="119">
        <f t="shared" ref="L12:L28" si="3">E12/E$29</f>
        <v>0</v>
      </c>
      <c r="M12" s="114" t="s">
        <v>211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4874560.7966637425</v>
      </c>
      <c r="E13" s="121">
        <f>SUMIFS('Resultater - Danmark'!J$3:J$504,'Resultater - Danmark'!$F$3:$F$504,$A13)*D4</f>
        <v>66267.713341306167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1624853.5988879148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7363.0792601451249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0.15096412969466322</v>
      </c>
      <c r="L13" s="122">
        <f t="shared" si="3"/>
        <v>6.6490676392982877E-3</v>
      </c>
      <c r="M13" s="114" t="s">
        <v>212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5243.8354838709674</v>
      </c>
      <c r="E14" s="121">
        <f>SUMIFS('Resultater - Danmark'!J$3:J$504,'Resultater - Danmark'!$F$3:$F$504,$A14)*D5</f>
        <v>5480.9700138047256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1747.9451612903222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1.6240048962490807E-4</v>
      </c>
      <c r="L14" s="122">
        <f t="shared" si="3"/>
        <v>5.4994111782694229E-4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2747430.5145796789</v>
      </c>
      <c r="E15" s="121">
        <f>SUMIFS('Resultater - Danmark'!J$3:J$504,'Resultater - Danmark'!$F$3:$F$504,$A15)*D6</f>
        <v>2842137.0165491197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4496969.982036991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4651984.7473605312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8.5087349164658127E-2</v>
      </c>
      <c r="L15" s="122">
        <f t="shared" si="3"/>
        <v>0.28516996151441454</v>
      </c>
      <c r="M15" s="124" t="s">
        <v>290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292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1507536.4731646522</v>
      </c>
      <c r="E16" s="121">
        <f>SUMIFS('Resultater - Danmark'!J$3:J$504,'Resultater - Danmark'!$F$3:$F$504,$A16)*D7</f>
        <v>591894.98801768466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502512.1577215509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65766.109779742779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4.6688089685952262E-2</v>
      </c>
      <c r="L16" s="122">
        <f t="shared" si="3"/>
        <v>5.9388646631301785E-2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207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14141144.68344051</v>
      </c>
      <c r="E17" s="121">
        <f>SUMIFS('Resultater - Danmark'!J$3:J$504,'Resultater - Danmark'!$F$3:$F$504,$A17)*D8</f>
        <v>6460686.3321518581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4713714.8944801707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717854.03690576181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0.43794829710258587</v>
      </c>
      <c r="L17" s="122">
        <f t="shared" si="3"/>
        <v>0.64824238309715843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288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612258.98454027576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386055.55758656352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289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1777506.2835526126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797017.71721988905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3090697.391172823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502738.07074813894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-17388773.623687528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29988992.560891591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291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1420630.6538615585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147889.18295936869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3198414.7638219534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3584675.3397181393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76.5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76.5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32289530.013009872</v>
      </c>
      <c r="E29" s="129">
        <f>SUM(E12:E28)</f>
        <v>9966467.0200737733</v>
      </c>
      <c r="F29" s="129"/>
      <c r="G29" s="129"/>
      <c r="H29" s="130"/>
      <c r="I29" s="130"/>
      <c r="J29" s="131">
        <f>SUM(J12:J28)</f>
        <v>1</v>
      </c>
      <c r="K29" s="131">
        <f>SUM(K12:K28)</f>
        <v>1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6.3280812396002611E-2</v>
      </c>
      <c r="E30" s="133">
        <f>SUMPRODUCT(E12:E28,$H$12:$H$28)/E29</f>
        <v>6.3187807371476695E-2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529352441.26527035</v>
      </c>
      <c r="E32" s="114">
        <f>SUMPRODUCT(E12:E28,$I$12:$I$28)</f>
        <v>178249487.6771352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19.003752641423208</v>
      </c>
      <c r="E33" s="114">
        <f>E32*[1]Energiindhold!$C$10</f>
        <v>6.3991566076091546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7872859.1335150246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1140754.5761623941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4551096.1446218006</v>
      </c>
      <c r="E40" s="121">
        <f>SUMIFS('Resultater - Vestdanmark'!J$3:J$504,'Resultater - Vestdanmark'!$F$3:$F$504,$A40)*D4</f>
        <v>61870.340176480422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323464.65204194176</v>
      </c>
      <c r="M40" s="121">
        <f>SUMIFS('Resultater - Østdanmark'!J$3:J$504,'Resultater - Østdanmark'!$F$3:$F$504,$A40)*D4</f>
        <v>4397.3731648257435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4837.8006601561638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406.03482371480391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1481053.1985566379</v>
      </c>
      <c r="E42" s="121">
        <f>SUMIFS('Resultater - Vestdanmark'!J$3:J$504,'Resultater - Vestdanmark'!$F$3:$F$504,$A42)*D6</f>
        <v>1517880.3720548805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1266377.3160230415</v>
      </c>
      <c r="M42" s="121">
        <f>SUMIFS('Resultater - Østdanmark'!J$3:J$504,'Resultater - Østdanmark'!$F$3:$F$504,$A42)*D6</f>
        <v>1324256.6444942397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1329182.5428542641</v>
      </c>
      <c r="E43" s="121">
        <f>SUMIFS('Resultater - Vestdanmark'!J$3:J$504,'Resultater - Vestdanmark'!$F$3:$F$504,$A43)*D7</f>
        <v>518251.34982790216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178353.93031038792</v>
      </c>
      <c r="M43" s="121">
        <f>SUMIFS('Resultater - Østdanmark'!J$3:J$504,'Resultater - Østdanmark'!$F$3:$F$504,$A43)*D7</f>
        <v>73643.638189782447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12541790.149155317</v>
      </c>
      <c r="E44" s="121">
        <f>SUMIFS('Resultater - Vestdanmark'!J$3:J$504,'Resultater - Vestdanmark'!$F$3:$F$504,$A44)*D8</f>
        <v>5696660.7833409132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1599354.5342851914</v>
      </c>
      <c r="M44" s="121">
        <f>SUMIFS('Resultater - Østdanmark'!J$3:J$504,'Resultater - Østdanmark'!$F$3:$F$504,$A44)*D8</f>
        <v>764025.54881094524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27780818.969363198</v>
      </c>
      <c r="E56" s="129">
        <f ca="1">SUM(E39:E55)</f>
        <v>7799719.4190536859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4508711.0436466718</v>
      </c>
      <c r="M56" s="129">
        <f ca="1">SUM(M39:M55)</f>
        <v>2166747.6010200884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6.3489072609728955E-2</v>
      </c>
      <c r="E57" s="133">
        <f ca="1">SUMPRODUCT(E39:E55,$F$39:$F$55)/E56</f>
        <v>6.3486572212168593E-2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6.1997598803460473E-2</v>
      </c>
      <c r="M57" s="133">
        <f ca="1">SUMPRODUCT(M39:M55,$N$39:$N$55)/M56</f>
        <v>6.2112332808321277E-2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457487622.60657203</v>
      </c>
      <c r="E59" s="114">
        <f ca="1">SUMPRODUCT(E39:E55,$I$12:$I$28)</f>
        <v>143267380.83343491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71864818.658698291</v>
      </c>
      <c r="M59" s="114">
        <f ca="1">SUMPRODUCT(M39:M55,$I$12:$I$28)</f>
        <v>34982106.843700282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16.423805651575936</v>
      </c>
      <c r="E60" s="114">
        <f ca="1">E59*[1]Energiindhold!$C$10</f>
        <v>5.1432989719203137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2.5799469898472691</v>
      </c>
      <c r="M60" s="114">
        <f ca="1">M59*[1]Energiindhold!$C$10</f>
        <v>1.2558576356888402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270</v>
      </c>
    </row>
    <row r="2" spans="1:4" ht="15.75" x14ac:dyDescent="0.25">
      <c r="A2" s="201" t="s">
        <v>307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293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245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G142" sqref="G142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553518.20843543066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121069.71545865215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0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143784.0142759982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0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285623.05173795577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0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11928.206902902208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0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50171.146455460723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30855.4450029535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74922.962243622984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49850.106336440978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0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28800.386873616728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41596.560342098521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11437.918624561291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0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31145.785633214087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0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72877.440134040429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11196.260693157685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959.79052447193897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1027.7273757818732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9484.230989471238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44.358105077588014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700.29950715558721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18.37258126009214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2371.6241464994846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40.402656114127915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714.55739207378303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1763.7383660176956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202.64130113199909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332.81173876457098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30452.01387923324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5659.6634285023883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325.87901868990201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421.99857265679589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9732.6192199682846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11.31234505051532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598.76574080415071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6.4750902601840021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805.2408623097682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23.075756148004398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408.11554781624284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1298.4872253048338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115.73747125009459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273.20106069089286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26486.154998052578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70773.67631420336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83959.75199188129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15480.15715245056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248745.6103160124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18384.441795130875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219481.42086706977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36520.195909571652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512123.31535649608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1525.1585972954053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18776.293034162631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6414.9587591488944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78974.832963235996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3945.2239219777639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48569.821247314576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9579.7634070966851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11364.600536362441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6373.9100833851826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130950.74461627769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3682.4610776195564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4368.5524745680859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5318.5991943376657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6309.5248481700473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1462.4695955911445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11101.275121357427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3982.3473146209913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77429.401129434642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9318.2198526644916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11054.327944788796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1431.5708465431917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122.72026985421287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131.4067785383736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1212.6681361310182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5.6716944859797733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89.54135543710359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2.3491460612173207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303.23945468341958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5.1659447918395278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91.364390193228076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225.51425827943592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25.910023619174421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42.553812889858399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3893.6406075896812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8725.0625185185199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723.65313630488879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41.667384803005618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53.957376525494915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1244.4274314126412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1.4464135682595993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76.559094320472624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0.82791484579133123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102.95931601810993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2.9505011243272654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52.182271946542372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166.02654290562981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14.798368333413432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34.931901323874534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3386.5598856061138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6791.6965925925906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170169.83214296759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37220.840874287176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0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44203.968724622173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0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87809.987150729692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0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3667.1259147389733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0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15424.272301499061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9485.9858570699034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23033.800359863864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15325.573934702474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0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8854.1929158733292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12788.160503604195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3516.3950575504314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0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9575.2461841246914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0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22404.939107013139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2230.830510672768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60.325222950477325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243.66299910145614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716.47131301367313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13.56919075168542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23.068866162854491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64.449558610774517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68.713175144526659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14.822844383576701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105.84229815168821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768.41006535428994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23.227312797648128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49.297032923373933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4624.9645652760382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1229.7001774151138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22.335410277576099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109.10325291425241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801.75462298516175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3.7735374359053933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21.50871323094557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24.769124387034655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25.441049088005123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9.2319327042333263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65.920477103599382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616.89552694179065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14.466386011962104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44.128542424612569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4022.6412881001361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21758.172423217798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27928.63175828362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4759.1130771022581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82743.509683987591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5651.9863784833815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73008.979132930224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11227.517926332235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170354.28464350387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468.88427252784516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6245.8042275715852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1972.1708131951523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26270.432864254519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1212.8925161595512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16156.415663460722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2945.1365937226469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3780.3558958910544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1959.5510905592043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43559.860982137143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1132.1105139843492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1453.1688158243799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1635.1135668949571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2098.8198734951161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449.61159687842485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3692.7625148507746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1224.3054767422425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25756.355635942306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2864.7294416587538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3677.145860735322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285.23736720509544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7.7132743559551313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31.155120040041375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91.609107022821874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1.7349772771160648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2.9496201603926053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8.2406181588953551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8.7857706252262986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1.8952713288770544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13.533156516950996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98.25007454710375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2.96987938705049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6.3031932792803271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591.35497282505401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1325.1374814814808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157.2313267993388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2.8558393802405542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13.950107130903383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102.51356017891004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0.48249021076142495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2.7501366440044395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3.1670177516097451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3.2529310613605098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1.1804088953292959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8.4286920247759696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78.877196229672492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1.8496940217032787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5.6423422575473294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514.34100651696951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1031.5034074074065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7019935.8896729527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1017168.458714144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291855.95871414396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1074244.3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42289.086447146343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155654.9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791373.67349799909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56246.100235804995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140119.4403069797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93364.229814031074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9958.8504753452635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6635.7701859689205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14365153.861353351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1205662.0612272937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2379805.8031627773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199736.22264367421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47934.184879022061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30466.135143758769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4808.9101566784193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29977.985977523316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46758.713289500229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4657.3795800273956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71890.257069489599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44042.605081673908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7224.3854840611129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44633.073350989973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71890.257069489599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7224.3854840611129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8472.4784537125106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5736.4434525475253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852.71481743560128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5689.162797083688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8264.6423051714901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825.84545123930332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12706.763572601465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8306.7590997186417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1281.0263341207046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8479.5920026221902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12706.763572601465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1281.0263341207046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124" workbookViewId="0">
      <selection activeCell="E131" sqref="E13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222</v>
      </c>
      <c r="I1" s="140" t="s">
        <v>188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7872859.1335150246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4551096.1446218006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4837.8006601561638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1481053.1985566379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1329182.5428542641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12541790.149155317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61870.340176480422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1517880.3720548805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518251.34982790216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5696660.7833409132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1140754.5761623941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323464.65204194176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406.03482371480391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1266377.3160230415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178353.93031038792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1599354.5342851914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4397.3731648257435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1324256.6444942397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73643.638189782447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764025.54881094524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2691129.5009707427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482187.74728528934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40228.873469919854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524651.55817020475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3525167.7695113975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133537.51054598394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7632870.0065635424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609921.6300278171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1826272.75668226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5720847.2834705068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27571.70194124684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1942953.6559396773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123145.11430255328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64762.968256356122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5403.1676876681813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70466.311926672526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472676.57715918368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17935.514963231879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1025176.0247393751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0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691266.04395840655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2165409.00326363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4432.6987357664457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343178.29580461275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61489.560168524164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5130.0675922754808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66904.631515926056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449536.54854955326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17028.97436880333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973359.07469549077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77778.444140950829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232890.00848399676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729534.05645906925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3515.9993902993874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247769.39356957743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16515.993687659306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8685.8888472677336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724.66280069904622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9450.8106924500589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63394.503378227986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2405.4779078760002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137494.70167152316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0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92711.316101913326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290420.62798557343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594.50530988460082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1234294.536045786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235643.20056012695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897193.5214277351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2212209.4819686995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611213.62991940021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543211.74750682688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72257.381235283217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272470.87062579964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646548.74657684658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178296.99682560615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578132.94722959655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207773.55150751706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1315903.5397993135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2149322.1793498904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637679.95429535187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218884.76999029241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69114.43723327505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437726.22620455944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611742.92957675515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176699.18645513742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2624286.3778383415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1517032.048207267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1612.6002200520545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167730.1780268476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21322392.885014642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588433.36945369444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6874.4822418311569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21799.461540380005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176554.0416515274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1065538.7961780522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380251.52538746473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107821.55068064725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135.34494123826798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22506.567396310857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3460535.4285508459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341428.57128038822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488.59701831397138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3097.7085905225945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49046.385600017013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354450.69932080351</v>
      </c>
    </row>
    <row r="386" spans="1:7" x14ac:dyDescent="0.25">
      <c r="A386" t="s">
        <v>208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208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34221449.144391388</v>
      </c>
      <c r="G387">
        <v>1</v>
      </c>
    </row>
    <row r="388" spans="1:7" x14ac:dyDescent="0.25">
      <c r="A388" t="s">
        <v>208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12953227.102583883</v>
      </c>
      <c r="G388">
        <v>1</v>
      </c>
    </row>
    <row r="389" spans="1:7" x14ac:dyDescent="0.25">
      <c r="A389" t="s">
        <v>208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208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4363988.6497844672</v>
      </c>
      <c r="G390">
        <v>1</v>
      </c>
    </row>
    <row r="391" spans="1:7" x14ac:dyDescent="0.25">
      <c r="A391" t="s">
        <v>208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1737262.7267654187</v>
      </c>
      <c r="G391">
        <v>1</v>
      </c>
    </row>
    <row r="392" spans="1:7" x14ac:dyDescent="0.25">
      <c r="A392" t="s">
        <v>236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236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736385.00175039668</v>
      </c>
      <c r="G393">
        <v>1</v>
      </c>
    </row>
    <row r="394" spans="1:7" x14ac:dyDescent="0.25">
      <c r="A394" t="s">
        <v>236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649292.34846099082</v>
      </c>
      <c r="G394">
        <v>1</v>
      </c>
    </row>
    <row r="395" spans="1:7" x14ac:dyDescent="0.25">
      <c r="A395" t="s">
        <v>236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236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225804.31636026004</v>
      </c>
      <c r="G396">
        <v>1</v>
      </c>
    </row>
    <row r="397" spans="1:7" x14ac:dyDescent="0.25">
      <c r="A397" t="s">
        <v>236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215982.61635398451</v>
      </c>
      <c r="G397">
        <v>1</v>
      </c>
    </row>
    <row r="398" spans="1:7" x14ac:dyDescent="0.25">
      <c r="A398" t="s">
        <v>309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309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309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309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309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309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305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306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305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306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305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306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305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306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305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306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305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306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190</v>
      </c>
      <c r="G1" t="s">
        <v>166</v>
      </c>
      <c r="H1" t="s">
        <v>227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482187.74728528934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1716482.2833310752</v>
      </c>
      <c r="F14">
        <f>E14-D14</f>
        <v>1234294.536045786</v>
      </c>
      <c r="G14">
        <f t="shared" si="3"/>
        <v>1234294.536045786</v>
      </c>
      <c r="H14">
        <f t="shared" si="1"/>
        <v>543211.74750682688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235643.20056012695</v>
      </c>
      <c r="F15">
        <f t="shared" si="2"/>
        <v>235643.20056012695</v>
      </c>
      <c r="G15">
        <f t="shared" si="3"/>
        <v>235643.20056012695</v>
      </c>
      <c r="H15">
        <f t="shared" si="1"/>
        <v>72257.381235283217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897193.5214277351</v>
      </c>
      <c r="F16">
        <f t="shared" si="2"/>
        <v>897193.5214277351</v>
      </c>
      <c r="G16">
        <f t="shared" si="3"/>
        <v>897193.5214277351</v>
      </c>
      <c r="H16">
        <f t="shared" si="1"/>
        <v>272470.87062579964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2212209.4819686995</v>
      </c>
      <c r="F17">
        <f t="shared" ca="1" si="2"/>
        <v>2212209.4819686995</v>
      </c>
      <c r="G17">
        <f t="shared" ca="1" si="3"/>
        <v>2212209.4819686995</v>
      </c>
      <c r="H17">
        <f t="shared" ca="1" si="1"/>
        <v>646548.74657684658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61489.560168524164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604701.30767535104</v>
      </c>
      <c r="F20">
        <f t="shared" si="2"/>
        <v>543211.74750682688</v>
      </c>
      <c r="G20">
        <f t="shared" si="3"/>
        <v>543211.74750682688</v>
      </c>
      <c r="H20">
        <f t="shared" si="1"/>
        <v>1234294.536045786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72257.381235283217</v>
      </c>
      <c r="F21">
        <f t="shared" si="2"/>
        <v>72257.381235283217</v>
      </c>
      <c r="G21">
        <f t="shared" si="3"/>
        <v>72257.381235283217</v>
      </c>
      <c r="H21">
        <f t="shared" si="1"/>
        <v>235643.20056012695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272470.87062579964</v>
      </c>
      <c r="F22">
        <f t="shared" si="2"/>
        <v>272470.87062579964</v>
      </c>
      <c r="G22">
        <f t="shared" si="3"/>
        <v>272470.87062579964</v>
      </c>
      <c r="H22">
        <f t="shared" si="1"/>
        <v>897193.5214277351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646548.74657684658</v>
      </c>
      <c r="F23">
        <f t="shared" ca="1" si="2"/>
        <v>646548.74657684658</v>
      </c>
      <c r="G23">
        <f t="shared" ca="1" si="3"/>
        <v>646548.74657684658</v>
      </c>
      <c r="H23">
        <f t="shared" ca="1" si="1"/>
        <v>2212209.4819686995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64762.968256356122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642895.91548595263</v>
      </c>
      <c r="F26">
        <f t="shared" si="2"/>
        <v>578132.94722959655</v>
      </c>
      <c r="G26">
        <f t="shared" si="3"/>
        <v>578132.94722959655</v>
      </c>
      <c r="H26">
        <f t="shared" si="1"/>
        <v>218884.76999029241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207773.55150751706</v>
      </c>
      <c r="F27">
        <f t="shared" si="2"/>
        <v>207773.55150751706</v>
      </c>
      <c r="G27">
        <f t="shared" si="3"/>
        <v>207773.55150751706</v>
      </c>
      <c r="H27">
        <f t="shared" si="1"/>
        <v>69114.43723327505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1315903.5397993135</v>
      </c>
      <c r="F28">
        <f t="shared" si="2"/>
        <v>1315903.5397993135</v>
      </c>
      <c r="G28">
        <f t="shared" si="3"/>
        <v>1315903.5397993135</v>
      </c>
      <c r="H28">
        <f t="shared" si="1"/>
        <v>437726.22620455944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2149322.1793498904</v>
      </c>
      <c r="F29">
        <f t="shared" ca="1" si="2"/>
        <v>2149322.1793498904</v>
      </c>
      <c r="G29">
        <f t="shared" ca="1" si="3"/>
        <v>2149322.1793498904</v>
      </c>
      <c r="H29">
        <f t="shared" ca="1" si="1"/>
        <v>611742.92957675515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8685.8888472677336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227570.65883756013</v>
      </c>
      <c r="F32">
        <f t="shared" si="2"/>
        <v>218884.76999029241</v>
      </c>
      <c r="G32">
        <f t="shared" si="3"/>
        <v>218884.76999029241</v>
      </c>
      <c r="H32">
        <f t="shared" si="1"/>
        <v>578132.94722959655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69114.43723327505</v>
      </c>
      <c r="F33">
        <f t="shared" si="2"/>
        <v>69114.43723327505</v>
      </c>
      <c r="G33">
        <f t="shared" si="3"/>
        <v>69114.43723327505</v>
      </c>
      <c r="H33">
        <f t="shared" si="1"/>
        <v>207773.55150751706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437726.22620455944</v>
      </c>
      <c r="F34">
        <f t="shared" si="2"/>
        <v>437726.22620455944</v>
      </c>
      <c r="G34">
        <f t="shared" si="3"/>
        <v>437726.22620455944</v>
      </c>
      <c r="H34">
        <f t="shared" si="1"/>
        <v>1315903.5397993135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611742.92957675515</v>
      </c>
      <c r="F35">
        <f t="shared" ca="1" si="2"/>
        <v>611742.92957675515</v>
      </c>
      <c r="G35">
        <f t="shared" ca="1" si="3"/>
        <v>611742.92957675515</v>
      </c>
      <c r="H35">
        <f t="shared" ca="1" si="1"/>
        <v>2149322.1793498904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8" zoomScale="80" zoomScaleNormal="80" workbookViewId="0">
      <selection activeCell="J464" sqref="J46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2891451.8691946529</v>
      </c>
      <c r="O3">
        <f>SUMIF($F$3:$F$494,"Roer",J3:J494)</f>
        <v>2749867.8949207771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76.5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76.5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-599177.3109877758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-380826.68929698464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10980.859033284019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68452.939937709409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2745.2147583210044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17113.234984427349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-76942.562506854709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-479647.77564037306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-69248.30625616925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-431682.99807633582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112914.28199038394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39085.712996671369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-23379.356644750114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-712068.4052372463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5169.7177849391983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2584.8588924695996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-58217.244750342448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-32601.657060191767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-718902.57069489593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-440426.05081673909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-72243.854840611137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-446330.7335098997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-718902.57069489593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-72243.854840611137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9730814.0573006514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10497145.511353366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1345658.314829719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109989.78093659866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-6005344555.5385208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-461209.78795151296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880773.31685543491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137941.42145938147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507725.7507076452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149517.59053663543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550334.5557560845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4572.8584232847197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16831.477820646374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-249674017.00118873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-918983771.3210001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-16854.681615741814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-62037.608325000008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40280.258869133482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148260.93900338138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335011.67555850605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5521996.6554744514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156490.48337099882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1928489.0964590292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34052.512579001894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-1432694098.1203072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-8665.5417248030899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2509860.667053218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17792.267834927461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15704.824852854279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546131.5373546161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68744.822418311582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6520.4368071249492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4344.6902101132364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194621.86242994375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6029.2870023407413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4017.427817781906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-253670676.5495379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-31931035.692611322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-1849.5766120521321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-1232.4078335452102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371622.34469215496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247618.98789956214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76657601.004271179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4879.1722547326508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108140.25878985807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159753.25831878959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6747.0214113917264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-265468043.35780993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-6291.9373912727669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11480.778157844003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889322.42607195396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3180048.1032192786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1571.2286254755672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5618.4151705662098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5916.3061380159543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21155.587175915862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10892.267612644744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38948.680417674739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1117.7465179882759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3996.8492755865582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-43978811.242448129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-157259876.928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-1963.3397876092913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-7020.5302199999996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2092.1617006973256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7481.1729164606168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4166788.9268308757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1360029.488745281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-88562913.349668905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1165040.2218729297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101140.2068452894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33011.910663785347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-1455513.890110499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165746.51449420667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59646.948486454625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19468.614868607576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-565966.34285023878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214555.37644813175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356957.20106329449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482048.93054039421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116509.93803405669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157339.56580605835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-7586938.1008826001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-9000485.4135296755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148963.80697019273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150933.97325128119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8664.3998014835215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2828.0384342047178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-124689.82073391201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21192.600330489026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5109.7879344430612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1667.8220073323791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-48484.760132427546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27433.37533038624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263933.23728986969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0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-2385641.3805804416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0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25106.384225342976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0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1177.8043457972026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-8649.8304901296633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656.6657840211866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350.42864570990486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-2149.3455595979108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428.84607565201441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19235.734932131843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269303.27775411907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-173868.08009167618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-2140497.4058945398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3210.1403052429523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33754.036229770645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85.839632894684016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-630.40884211665173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83.962281523299566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25.539612254664661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-156.6465894425146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54.832908627526329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31794.827517235844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0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-25166142.441363655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0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5044.7117791251785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0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2317.2408318650009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32451.574640846669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-1834135.2163035248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-22475222.761892669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645.0244872042058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6750.8072459541299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2288216.1971482248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-7525671.9683191087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105599.78462733394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38327.288611215423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-84035.940858670467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10367.050713992749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38232.087334710362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-53888.916672373562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22698.948540915841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166767.62914635535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2337126.3206842514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-548478.97390723042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-6752348.2183566764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13502.148370492761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141972.61239111444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2793.3335413264108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-6124.6287118978844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1325.5468029479352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2786.3951710822694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-3927.4815386402456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2902.3219330912721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17379735.17861478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-50555280.157618172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0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601176.8691573746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0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692521.51169247157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-1407949.3875337623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140402.07460723686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829101.43649590458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-1166972.4400200681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368959.35720318544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1733315.4210753429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33921972.880353861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-5041978.2472754624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-86681992.357240528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76867.384842848391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920641.19947435334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69066.542344095782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-140417.58176549862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17952.021867866635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82687.928828879376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-116384.47338056176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47175.702121172209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501850.54239317978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0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148988.75846218184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254826.46462296922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0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4774.1557181200569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1417.345350980137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14208.487854611085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1891.1383935308972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561.43879010015519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12353.931716052784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36575.401067883315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669028.68943321821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10858.45911289455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198620.39669998462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32582.497646276894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447168.58260182879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347.94554434089747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103.29763601846187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1816.718772773379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137.82817666872995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40.918255911522166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1579.5924165730205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2692320.1375496858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-4165485.0753987227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64944.267314780373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1923.7397030149814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-1929.1210323096748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271.98288692785121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790.98591051229812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-485.63176951380018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245.46785261345931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196219.15394258787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2749867.8949207771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-303584.98079618887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-3737447.7449808558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8303.8723629189153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87313.694086073068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140.20419476374349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-140.59639176385664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34.776143781871255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57.64789408828851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-35.393359657579403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31.385891343146515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454491.06612415396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0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-6979014.8871017369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0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90710.801366298285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0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442.02865593009022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-5656.3718559779081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398.76135869842392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294.53929184350056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-3230.605860720616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608.84050986411523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33123.792087559821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774671.670329666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-508638.02465413755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-10449869.420378959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11598.420424590775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203520.30146642606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32.215518383307753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-412.24239438879431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50.986231161041111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21.466336726575136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-235.44998972131577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77.847269548539131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921524.81677847309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-4092054.9682930438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60618.799168516896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27436.396852504007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-89319.674009222887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10578.120712630302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18281.839403986196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-44042.469535169541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15471.482730770753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67161.708358329764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90697.791194463221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-298233.31652371382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-353798.14353408286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7750.81145575138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7853.3221775957181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1999.5937713897015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-6509.7128012675003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1352.5345325936096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1332.3998919494152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-3209.8620031116875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1978.2072101718193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3581163.1385153742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-11987673.958979677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157697.18723872851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136030.49400380318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-308311.13904493302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35108.90347639133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53884.394454328009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-80524.086230976827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30526.330501248045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380051.14168392163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513235.88893477799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-1272192.5804624397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-1509218.951228932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20163.401158637826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20430.078372941003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14436.243910241314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-32719.537160340969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4489.0775633347321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5718.4844250921078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-8545.6232295031241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3903.1428434169507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679383.2767816619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0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362862.0050454695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0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-25162202.498299684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0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302635.31956316921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5827.2468942755986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3112.3617024670689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-149020.46948837163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15214.207229939157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2791.5362103731677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1490.9734476413607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-48529.835855531528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15997.782158030479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47776.836001611722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649292.34846099082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25517.846992640825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346790.28977475746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-1769502.5227813469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-21125086.75845547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38695.410235104806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394560.5140604371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409.79433660416731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218.87320415196874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-10479.690588435295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1945.3115750473712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196.31152586998664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104.85096752478921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-3412.8040652375539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2045.5006519079377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638273.17946717015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106035.94638659336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-6239484.0513147777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87552.071732365337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32476.153375220714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5395.2441821422517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-238104.67941238891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26109.921397756731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27894.263087316875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4634.0574543480379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-155818.46703658006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49225.085370860783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46518.027894438084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62819.759709472717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7728.0125038974793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10436.209583697457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-454740.23111587035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-539464.37451853894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11194.540470383032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11342.597281064849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2366.8965847409099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393.21113190391725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-17353.322174602592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3338.4540877478453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2032.9635493595774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337.73503393287814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-11356.215534745077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6293.9939562669833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614141.68784566643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0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-1258171.048701742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0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20813.250776117358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0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13056.620679626971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-20264.13011319991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2000.0051565806962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8700.0871035265063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-10416.372412508514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3053.6663914428159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44759.299129866427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386762.96576702269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-91696.84364356476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-696049.95010911056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2661.2137614025846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17253.318153943164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951.58039616988913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-1476.8713462929418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255.72368789579173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634.0715975309181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-759.15629550410904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390.44640892738795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815768.63788652851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0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-3737494.2759856903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0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56675.088211526934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0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10460.383257056563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-39937.408651748519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3284.7459524855012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10017.933202359605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-32784.127282907146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7208.2523328642947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59454.085606874774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1315903.5397993135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-272392.55632007576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-5296171.0372533286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7246.5626008930758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120338.79689958273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762.36385264453747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-2910.680801666314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419.99259152233856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730.11762227109386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-2389.342050553018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921.65805861967374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1079217.4205066829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-3643872.0067020217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132612.97682028596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541144.31803642598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-1522600.693961662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300551.68638628541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549114.345303435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-1324307.7499026288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698821.91551711666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137990.37362742776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186347.58406281925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-465910.99263322458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-552716.39723943977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16956.096029922595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17180.354051629402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69191.531950205026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176498.58002153359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-194682.03037948406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-436253.12592592603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38428.993741896498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73549.300726273679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70210.591705447863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160286.79095227332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-169327.99428030569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-339584.8296296295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89352.428332715674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153049.78603004583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611213.62991940021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637679.95429535187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662148.09907935024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690819.95048663113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-95441.036993373244</v>
      </c>
      <c r="J425" s="315">
        <f ca="1">SUMIFS(J3:J424,$F$3:$F$424,$D$425)*J423/SUM(J423:J424)*'[1]Processer - data'!J$425</f>
        <v>-357518.33254056162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1363412.0539430196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53077.773972224328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6974.419499950277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706621.13097372942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951875.76678713446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48971.913359549246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18236.445077333861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938.22496535210962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84891.942149499315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4367.5035975559585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83762.916953084175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4309.4177359038522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87951.528514645848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3915.1017916004403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42657.204064842423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1898.8560958451085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5630.6083895113643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250.6426592677754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57874.101421306659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2576.2258142459946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146352.36036688712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539.81826816692853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2421729518.9293323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110817468.39416116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91632434.014817446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12307215.288577525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43581279.592413172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5853431.6616405295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79899012.586090818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10731291.379674304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933904303.78346288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125223739.2854021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134654979.25348172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18085602.954555996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1269444451.7174709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170499958.14419591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58757225.587786168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565048790.91749132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213877714.00073102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1132727762.1271603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428750982.64619875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75822180.33842881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12189921.523357725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1444057949.1084132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94474309.602180302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-100202.60226309163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64170455.639167391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872371.79648837389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-133922.16962965202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-1820.6185782189057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63375.188648045747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79750952.571255848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31095080.989674129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198441890.14538321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90135149.760848597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20586639.459937267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21098537.171562839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25538906.878535587</v>
      </c>
      <c r="J474" s="260">
        <f ca="1">SUMIFS('Forbrug af biomasse'!$E$1:$E$425,'Forbrug af biomasse'!$A$1:$A$425,"Biogas",'Forbrug af biomasse'!$B$1:$B$425,$A$1,'Forbrug af biomasse'!$D$1:$D$425,J$2)*'[1]Processer - data'!J474</f>
        <v>7170282.0619360534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13908717.80254321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12136256.385658136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54995.857934649255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11288.201540364382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2348222.4923758665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305192.46156532009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149256750.19510248</v>
      </c>
      <c r="J479" s="260">
        <f ca="1">J474*'[1]Processer - data'!J$479*Biogasanlæg!AC$3</f>
        <v>1235878.2915606918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94149339.112591118</v>
      </c>
      <c r="J480" s="260">
        <f ca="1">-SUMIFS('Resultater - Vestdanmark'!J$3:J$504,'Resultater - Vestdanmark'!$F$3:$F$504,"Gødning",'Resultater - Vestdanmark'!$A$3:$A$504,"&lt;&gt;Gødning")-SUM(J475:J479)</f>
        <v>170486207.38848835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12.757429290020946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5.9754701808380979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8.2475120196044429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7.2720743027630963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16.508360794270324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24.212625132307366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32.062810549861823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31.151349096372208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16.415400572264989</v>
      </c>
      <c r="J489" s="260">
        <f ca="1">SUM(J455:J473)*'[1]Processer - data'!$H$489</f>
        <v>5.1432336117133568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5720847.2834705068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2165409.00326363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11778214.995380456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4458195.0067192381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16722386.865540422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6329623.0926010143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368192.50087519834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324646.17423049541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235643.20056012695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207773.55150751706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898519.08431343141</v>
      </c>
      <c r="O3">
        <f>SUMIF($F$3:$F$494,"Roer",J3:J494)</f>
        <v>914724.5674164847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-105905.98067140639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-71705.543156844069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1947.1233399628293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12990.863346744243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486.78083499070721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3247.7158366860604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-13643.43707896962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-91026.604753339008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-12279.09337107266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-81923.944278005118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19957.69528596805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6908.4329836043262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-4132.321152585745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-125858.69567589725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916.69314118001319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458.34657059000665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-10323.068140491292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-5780.9181586751229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-127067.63572601465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-83067.590997186417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-12810.263341207046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-84795.920026221895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-127067.63572601465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-12810.263341207046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1409966.8846348331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1521006.1015498589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194982.00775092631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15937.201949973736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-870157101.37618876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-66827.967737519255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127621.51268366147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19987.314024489475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73567.996547734467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21664.667527880702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79741.889477801044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662.59399336867864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2438.8325793536246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-36177044.782940283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-133158097.303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-2442.1947423227016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-8989.0704750000004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5836.4933062703567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21482.58234600586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23810.623116054863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392470.44447755598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11122.406150723473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137065.45296564736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2420.2486131911915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-101827314.38857347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>
        <f>SUM(H114,H122)</f>
        <v>-259098224</v>
      </c>
      <c r="M114" s="94">
        <f>SUM(I114,I122)</f>
        <v>-119856706.54288027</v>
      </c>
      <c r="N114" s="94">
        <f>SUM(J114,J122)</f>
        <v>-2269466.7441501948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-615.89479758206471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178385.86167895389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1264.567818691974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1116.2048757004002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38815.758245033008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4885.9701831397151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463.43358961347798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308.79455462725559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13832.556160135324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428.52560356868003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285.53470414333128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-18029392.154306799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-2269466.7441501948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-131.45682627455747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-87.592166454789748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26412.690173313775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17599.274375814286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6433844.15701913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409.50712637684086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9076.1720043247769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13408.032003791041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566.27501664899421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-22280634.891480386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-528.07998281755465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963.57747309052729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74640.502960304148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131.87263857623103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496.55339038185514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914.18400025847995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93.812052680681433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-3691125.3944550995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-164.78238368103121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175.59435929674734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627.89208148501882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1281008.9378237682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418118.11478333344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-27227173.142874815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358171.95527552208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20151.965506136567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6577.5511612892105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-290007.96638745983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33024.631321536435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12959.757070832053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4230.0323085269056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-122970.01774151137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46617.398334135374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109740.46754281298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160350.24819795735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35819.014254805305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52337.920136192799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-2332476.083768948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-2993949.3244880042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45796.40857551332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50207.144003442016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1726.3627530242154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563.48048668022147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-24844.174683563815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4222.5793694354506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1110.2262897638293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362.37508541318954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-10534.4988955557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5960.57114297307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81141.819730771225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0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-733425.18294779467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0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7718.5341407641235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0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360.29158162486851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-2645.9921965786571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200.87475035065336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116.89491500612559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-716.97211282202477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143.05316125768942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5913.7020872355597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89581.875806646669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-53452.807068174341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-712021.6819431606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986.90346328921487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11228.047080322316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26.258433509846245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-192.84272435145058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25.684149761212339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8.5194256815119882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-52.253689825462324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18.290993821491039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9775.3875096937354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0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-7737384.150145784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0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1551.0073922851823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0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712.44063432915095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10794.792226259809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-563908.78279881994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-7476227.6604031874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198.31415384293211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2245.6094160644634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703473.45442558464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-2313640.8452248592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32464.871707040125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1262.5556384416936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-2768.263939542539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341.50546013662972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1373.3634820161221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-1935.7841907851014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815.38595403747718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51269.893250542322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777428.93272593827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-168620.6045281855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-2246122.009893761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4151.0076574910445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47226.209191475282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92.016397205252872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-201.75401897085419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43.66540526925116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100.09219064940295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-141.08200983742773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104.25648280896272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5343106.2844233559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-15542367.725679154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0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184821.68310580347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0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52315.448381986447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-106361.32201577173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10606.453897565709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68299.796242968208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-96132.96560115632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30394.168686304722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532878.5751943622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11283910.047536792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-1550071.1249094282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-28834166.218759466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23631.580274386364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306244.93798064179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5217.5233114337707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-10607.625361446468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1356.1572565239333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6811.6739908620521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-9587.5311123969914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3886.2444336278022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154285.48014941547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0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45804.07949064998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78342.096158043627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0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300.06756761257117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89.083682444917784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893.03882020521303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129.61666596701835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38.480432931969766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846.72567914464787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11244.48982062615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222547.77389902543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3338.2500095082082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66069.703489053689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10016.939046933565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148747.54130488314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21.86924334196582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6.4925134851684563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114.18529586564573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9.4466004165665431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2.8044948622371093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108.2636275184032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827708.39134085341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-1280608.0907044369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19966.019002053097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6748.326377559657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-6767.2036541313246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954.09440644358847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3025.7537144067901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-1857.684329027599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938.98672143425642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60324.267532276477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914724.5674164847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-93332.079118477443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-1243236.1853033025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2552.8854238213876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29044.297436957211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491.8252008241227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-493.20099680988693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121.9919555775688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220.520147511093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-135.39000888131659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120.06026409495315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139725.60839766424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0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-2145580.3508583461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0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27887.505066344595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0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162.17057515785859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-2075.1982137007381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146.29675706156058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117.83652520902947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-1292.4705785926658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243.57921702005447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10183.350888150855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257689.18202978774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-156372.1770266245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-3476076.9063745439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3565.7386273796205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67699.622975783888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11.819163927815259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-151.24265204438893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18.705724892698548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8.5880512341647481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-94.196629847277819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31.144407536243506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283307.25348679244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-1258033.243463669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18636.226816047219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4063.9580922156611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-13230.287268961027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1566.8616947638507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2952.9567846427153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-7113.9181540967666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2499.0165862823706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20647.733829889232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30169.993972883625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-91686.800251307475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-117688.50947157697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2382.856181235928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2612.3533952130042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296.18558632423191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-964.23740183275845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200.34130896576784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215.21462987643125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-518.46991817403182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319.52804494236557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1100968.1720864889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-3685408.0575782182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48481.338956644235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3941.2177402882762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-8932.7127687884658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1017.2118702983877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1702.441578110858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-2544.1049088005125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964.45909430284325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116840.30985882273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170724.37456200234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-391114.13964636746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-502031.26297433197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6198.8974135021181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6795.9245011338007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418.26195676817099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-947.98465046191757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130.06225008379565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180.67170927025646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-269.99327809292231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123.31720026233188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208864.92333731602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0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111555.79987907715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0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-7735694.5268088803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0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93040.121798640714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1381.5769514591555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737.90715765909226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-35331.134869711139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3607.1232993844492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721.72206475052576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385.47536339357953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-12546.874085139027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4136.0568161784422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14688.181958272047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215982.61635398451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7845.0314248228906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115357.39530774487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-544003.68892902555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-7027114.2415445354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11896.250862322246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131247.83056313219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97.157786612230652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51.89245961852545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-2484.6208231932997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461.21224726762807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50.754261850063244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27.108105025428028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-882.3442760296391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528.84248768035718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196226.31768211612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32598.962279363208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-1918224.0755406292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26916.406946355484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14148.925724088333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2350.5526752036908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-103735.35882282915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11375.341600662514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13252.225967693719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2201.5844742003128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-74027.463233014874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23386.240839976595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14301.18264906516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20896.559297118682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2375.8470282380886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3471.5330560235693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-139802.20996951882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-179449.09918383238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3441.5725512396734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3773.0366649487173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1031.1887490853394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171.3107779395506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-7560.3432363996326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1454.4684025560741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965.83631752034387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160.45381707610926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-5395.2002221095981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2990.2001672047659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188807.49782034862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0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-386803.45633054746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0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6398.6827116899449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0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1496.586386446407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-2322.7312797648128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229.24618579382675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1087.4509095273229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-1301.9747410765895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381.68724694968699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13760.491170282347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128654.0299653736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-28190.647124277235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-231536.20968114355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818.14526093816903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5739.1971498031962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109.07280692769747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-169.28312506187791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29.311764459381216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79.254578400824045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-94.889303313378193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48.803109377796993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250794.30100236979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0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-1149029.5420949629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0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17423.799435440727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0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1549.4220838736871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-5915.6439508048716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486.5460273898093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1618.1371668517734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-5295.4250909535085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1164.3061270468856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18278.155286947014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437726.22620455944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-83742.494609169371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-1761734.7254984535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2227.8333803924561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40029.86984964319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112.92352872803394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-431.13842030277431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62.210511830822249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117.93155702935101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-385.93621041623726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148.86994449410682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331787.1833204779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-1120246.955350657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40769.621778611785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82187.447619866754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-231248.22826380192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45646.928478463145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83397.912511955161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-201132.06440500679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106135.06908024471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42422.811679308972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61987.237109032154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-143236.47208293769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-183857.29303676609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5212.8655773905921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5714.9261449854148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10508.611507795644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26806.098330915487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-29567.7486412527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-66256.874074074032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5836.4853976600498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11170.456936242925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10663.383381885427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24343.89828456027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-25717.050325848475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-51575.170370370324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13570.590651214497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23244.76272469978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178296.99682560615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176699.18645513742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193155.07989440666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191424.11865973219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-27168.989628195013</v>
      </c>
      <c r="J425" s="315">
        <f ca="1">SUMIFS(J3:J424,$F$3:$F$424,$D$425)*J423/SUM(J423:J424)*'[1]Processer - data'!J$425</f>
        <v>-81424.245852058768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96903.161700864599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3772.4502281445671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495.69995997819609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50222.397196773512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137924.05255645732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7095.888967518189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2642.4082816803343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135.94609080949843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12300.597514072075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632.83867154539507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12137.005020218045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624.42219776296736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6251.0678007025454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278.2619831544028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3031.8185402921181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134.95931678923023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400.18991592828291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17.814178824309419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4113.3444523261478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183.10269880176259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12283.299585125167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45.306747993645999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308823863.32805777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14862632.747115018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11685153.960183039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1650620.8238144941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5557573.2249651039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785051.36742396664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10188884.245769357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1439260.840277272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119093372.24440263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16794775.004239973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17171476.246366538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2425607.4301176402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161882132.91180405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22867137.266503233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7492840.6589686675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72056168.624948606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28684881.201931987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144447743.17889571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57503284.341143541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9668998.323323315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1634889.6021826523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184149200.48974529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13689054.91394873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-14519.067995055966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4560851.5937913787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62002.961624042982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-9518.3855984121692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-129.39866269373474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5319.0561906639314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10701235.818623275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4418618.291386947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25305712.583423968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12088758.639899494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17602644.692720275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18407167.358469933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4144858.0624243855</v>
      </c>
      <c r="J474" s="260">
        <f ca="1">SUMIFS('Forbrug af biomasse'!$E$1:$E$425,'Forbrug af biomasse'!$A$1:$A$425,"Biogas",'Forbrug af biomasse'!$B$1:$B$425,$A$1,'Forbrug af biomasse'!$D$1:$D$425,J$2)*'[1]Processer - data'!J474</f>
        <v>1991891.0696177674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2015333.084553563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862572.40544517804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3908.776146511771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947.41458866787582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315091.94354835199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43367.920267316324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24223747.999855921</v>
      </c>
      <c r="J479" s="260">
        <f ca="1">J474*'[1]Processer - data'!J$479*Biogasanlæg!AC$3</f>
        <v>343324.69920011907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54628571.404862113</v>
      </c>
      <c r="J480" s="260">
        <f ca="1">-SUMIFS('Resultater - Østdanmark'!J$3:J$504,'Resultater - Østdanmark'!$F$3:$F$504,"Gødning",'Resultater - Østdanmark'!$A$3:$A$504,"&lt;&gt;Gødning")-SUM(J475:J479)</f>
        <v>56712111.891328558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5.6145314233733172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2.2623505932056318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2.5290083432349122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2.4190053031646266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5.0134640195147124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8.0541625621638921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9.3707988062214476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8.8663382993828446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2.5790840452632637</v>
      </c>
      <c r="J489" s="260">
        <f ca="1">SUM(J455:J473)*'[1]Processer - data'!$H$489</f>
        <v>1.2558529902768496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729534.05645906925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290420.62798557343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1501981.8809451428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597924.82232323941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2132472.7123802551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848917.27645660576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112902.15818013002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107991.30817699226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72257.381235283217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69114.43723327505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145" zoomScale="70" zoomScaleNormal="70" workbookViewId="0">
      <selection activeCell="H157" sqref="H157:J15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15057851.655114515</v>
      </c>
      <c r="N3" s="94">
        <f ca="1">SUMIF($F$3:$F$509,$L$3,I$3:I$509)</f>
        <v>8945385.1499703061</v>
      </c>
      <c r="O3" s="94">
        <f ca="1">SUMIF($F$3:$F$509,$L$3,J$3:J$509)</f>
        <v>116232.40411250673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1054511.5817145002</v>
      </c>
      <c r="O4" s="94">
        <f t="shared" si="0"/>
        <v>169743.52134938724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3086281.5635976405</v>
      </c>
      <c r="O5" s="94">
        <f t="shared" si="0"/>
        <v>265218.26227537642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14712.111690928603</v>
      </c>
      <c r="O6" s="94">
        <f t="shared" si="0"/>
        <v>8109.0649979456357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7439.0578124574986</v>
      </c>
      <c r="O7" s="94">
        <f>SUMIFS(J$3:J$509,$F$3:$F$509,$L$3,$C$3:$C$509,$L7)+SUMIFS(J$3:J$509,$F$3:$F$509,$L$3,$C$3:$C$509,"",$A$3:$A$509,"Grøntsager I drivhus")</f>
        <v>8996.4166620185933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949198.10164500773</v>
      </c>
      <c r="O8" s="94">
        <f>SUMIFS(J$3:J$509,$F$3:$F$509,$L$3,$C$3:$C$509,$L8)</f>
        <v>84719.757662516611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76.5</v>
      </c>
      <c r="J9" s="254">
        <f>'Resultater - Vestdanmark'!J9+'Resultater - Østdanmark'!J9</f>
        <v>76.5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1878359.8929958479</v>
      </c>
      <c r="O9" s="94">
        <f>SUMIFS(J$3:J$509,$F$3:$F$509,$L$3,$C$3:$C$509,$L9)</f>
        <v>176294.5487547456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0</v>
      </c>
      <c r="J17" s="254">
        <f ca="1">'Resultater - Vestdanmark'!J17+'Resultater - Østdanmark'!J17</f>
        <v>0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0</v>
      </c>
      <c r="J21" s="254">
        <f ca="1">'Resultater - Vestdanmark'!J21+'Resultater - Østdanmark'!J21</f>
        <v>0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0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0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0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0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0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-705083.29165918217</v>
      </c>
      <c r="J33" s="254">
        <f ca="1">'Resultater - Vestdanmark'!J33+'Resultater - Østdanmark'!J33</f>
        <v>-452532.23245382868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12927.982373246849</v>
      </c>
      <c r="J35" s="254">
        <f ca="1">'Resultater - Vestdanmark'!J35+'Resultater - Østdanmark'!J35</f>
        <v>81443.80328445365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3231.9955933117117</v>
      </c>
      <c r="J36" s="254">
        <f ca="1">'Resultater - Vestdanmark'!J36+'Resultater - Østdanmark'!J36</f>
        <v>20360.950821113409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-90585.999585824335</v>
      </c>
      <c r="J37" s="254">
        <f ca="1">'Resultater - Vestdanmark'!J37+'Resultater - Østdanmark'!J37</f>
        <v>-570674.38039371208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-81527.399627241917</v>
      </c>
      <c r="J38" s="254">
        <f ca="1">'Resultater - Vestdanmark'!J38+'Resultater - Østdanmark'!J38</f>
        <v>-513606.94235434092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132871.977276352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45994.145980275694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-27511.677797335858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-837927.1009131436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6086.4109261192116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3043.2054630596062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-68540.312890833738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-38382.575218866892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0</v>
      </c>
      <c r="J49" s="254">
        <f ca="1">'Resultater - Vestdanmark'!J49+'Resultater - Østdanmark'!J49</f>
        <v>0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0</v>
      </c>
      <c r="J53" s="254">
        <f ca="1">'Resultater - Vestdanmark'!J53+'Resultater - Østdanmark'!J53</f>
        <v>0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0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0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0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0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0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0</v>
      </c>
      <c r="J65" s="254">
        <f ca="1">'Resultater - Vestdanmark'!J65+'Resultater - Østdanmark'!J65</f>
        <v>0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0</v>
      </c>
      <c r="J67" s="254">
        <f ca="1">'Resultater - Vestdanmark'!J67+'Resultater - Østdanmark'!J67</f>
        <v>0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0</v>
      </c>
      <c r="J68" s="254">
        <f ca="1">'Resultater - Vestdanmark'!J68+'Resultater - Østdanmark'!J68</f>
        <v>0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0</v>
      </c>
      <c r="J69" s="254">
        <f ca="1">'Resultater - Vestdanmark'!J69+'Resultater - Østdanmark'!J69</f>
        <v>0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0</v>
      </c>
      <c r="J70" s="254">
        <f ca="1">'Resultater - Vestdanmark'!J70+'Resultater - Østdanmark'!J70</f>
        <v>0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0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0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0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0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0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0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0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0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-845970.20642091054</v>
      </c>
      <c r="J81" s="254">
        <f ca="1">'Resultater - Vestdanmark'!J81+'Resultater - Østdanmark'!J81</f>
        <v>-523493.64181392553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-85054.118181818179</v>
      </c>
      <c r="J85" s="254">
        <f ca="1">'Resultater - Vestdanmark'!J85+'Resultater - Østdanmark'!J85</f>
        <v>-531126.65353612159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-845970.20642091054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-85054.118181818179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11140780.941935485</v>
      </c>
      <c r="J95" s="254">
        <f>'Resultater - Vestdanmark'!J95+'Resultater - Østdanmark'!J95</f>
        <v>0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12018151.612903224</v>
      </c>
      <c r="J96" s="254">
        <f>'Resultater - Vestdanmark'!J96+'Resultater - Østdanmark'!J96</f>
        <v>0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1540640.3225806453</v>
      </c>
      <c r="J97" s="254">
        <f>'Resultater - Vestdanmark'!J97+'Resultater - Østdanmark'!J97</f>
        <v>0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125926.9828865724</v>
      </c>
      <c r="J98" s="254">
        <f>'Resultater - Vestdanmark'!J98+'Resultater - Østdanmark'!J98</f>
        <v>0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-6875501656.9147091</v>
      </c>
      <c r="J99" s="254">
        <f>'Resultater - Vestdanmark'!J99+'Resultater - Østdanmark'!J99</f>
        <v>0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-528037.75568903226</v>
      </c>
      <c r="J100" s="254">
        <f>'Resultater - Vestdanmark'!J100+'Resultater - Østdanmark'!J100</f>
        <v>0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1008394.8295390963</v>
      </c>
      <c r="J101" s="254">
        <f>'Resultater - Vestdanmark'!J101+'Resultater - Østdanmark'!J101</f>
        <v>0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157928.73548387096</v>
      </c>
      <c r="J102" s="254">
        <f>'Resultater - Vestdanmark'!J102+'Resultater - Østdanmark'!J102</f>
        <v>581293.74725537968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171182.25806451612</v>
      </c>
      <c r="J104" s="254">
        <f>'Resultater - Vestdanmark'!J104+'Resultater - Østdanmark'!J104</f>
        <v>630076.44523388555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5235.4524166533984</v>
      </c>
      <c r="J105" s="254">
        <f>'Resultater - Vestdanmark'!J105+'Resultater - Østdanmark'!J105</f>
        <v>19270.310399999998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-285851061.78412902</v>
      </c>
      <c r="J106" s="254">
        <f>'Resultater - Vestdanmark'!J106+'Resultater - Østdanmark'!J106</f>
        <v>-1052141868.6240001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-19296.876358064517</v>
      </c>
      <c r="J107" s="254">
        <f>'Resultater - Vestdanmark'!J107+'Resultater - Østdanmark'!J107</f>
        <v>-71026.678800000009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46116.752175403839</v>
      </c>
      <c r="J108" s="254">
        <f>'Resultater - Vestdanmark'!J108+'Resultater - Østdanmark'!J108</f>
        <v>169743.52134938724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358822.29867456091</v>
      </c>
      <c r="J109" s="254">
        <f>'Resultater - Vestdanmark'!J109+'Resultater - Østdanmark'!J109</f>
        <v>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5914467.0999520076</v>
      </c>
      <c r="J110" s="254">
        <f>'Resultater - Vestdanmark'!J110+'Resultater - Østdanmark'!J110</f>
        <v>0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167612.88952172227</v>
      </c>
      <c r="J111" s="254">
        <f>'Resultater - Vestdanmark'!J111+'Resultater - Østdanmark'!J111</f>
        <v>0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2065554.5494246767</v>
      </c>
      <c r="J112" s="254">
        <f>'Resultater - Vestdanmark'!J112+'Resultater - Østdanmark'!J112</f>
        <v>0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36472.761192193087</v>
      </c>
      <c r="J113" s="254">
        <f>'Resultater - Vestdanmark'!J113+'Resultater - Østdanmark'!J113</f>
        <v>0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-1534521412.5088806</v>
      </c>
      <c r="J114" s="254">
        <f>'Resultater - Vestdanmark'!J114+'Resultater - Østdanmark'!J114</f>
        <v>0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-9281.4365223851546</v>
      </c>
      <c r="J115" s="254">
        <f>'Resultater - Vestdanmark'!J115+'Resultater - Østdanmark'!J115</f>
        <v>0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2688246.5287321717</v>
      </c>
      <c r="J116" s="254">
        <f>'Resultater - Vestdanmark'!J116+'Resultater - Østdanmark'!J116</f>
        <v>0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19056.835653619433</v>
      </c>
      <c r="J117" s="254">
        <f>'Resultater - Vestdanmark'!J117+'Resultater - Østdanmark'!J117</f>
        <v>16821.02972855468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584947.29559964908</v>
      </c>
      <c r="J118" s="254">
        <f>'Resultater - Vestdanmark'!J118+'Resultater - Østdanmark'!J118</f>
        <v>73630.792601451292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6983.8703967384272</v>
      </c>
      <c r="J119" s="254">
        <f>'Resultater - Vestdanmark'!J119+'Resultater - Østdanmark'!J119</f>
        <v>4653.4847647404922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208454.41859007906</v>
      </c>
      <c r="J120" s="254">
        <f>'Resultater - Vestdanmark'!J120+'Resultater - Østdanmark'!J120</f>
        <v>0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6457.8126059094211</v>
      </c>
      <c r="J121" s="254">
        <f>'Resultater - Vestdanmark'!J121+'Resultater - Østdanmark'!J121</f>
        <v>4302.9625219252375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-271700068.70384467</v>
      </c>
      <c r="J122" s="254">
        <f>'Resultater - Vestdanmark'!J122+'Resultater - Østdanmark'!J122</f>
        <v>-34200502.436761513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-1981.0334383266895</v>
      </c>
      <c r="J123" s="254">
        <f>'Resultater - Vestdanmark'!J123+'Resultater - Østdanmark'!J123</f>
        <v>-1320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398035.03486546874</v>
      </c>
      <c r="J124" s="254">
        <f>'Resultater - Vestdanmark'!J124+'Resultater - Østdanmark'!J124</f>
        <v>265218.26227537642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83091445.161290303</v>
      </c>
      <c r="J125" s="254">
        <f>'Resultater - Vestdanmark'!J125+'Resultater - Østdanmark'!J125</f>
        <v>0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5288.6793811094913</v>
      </c>
      <c r="J126" s="254">
        <f>'Resultater - Vestdanmark'!J126+'Resultater - Østdanmark'!J126</f>
        <v>0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117216.43079418284</v>
      </c>
      <c r="J127" s="254">
        <f>'Resultater - Vestdanmark'!J127+'Resultater - Østdanmark'!J127</f>
        <v>0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173161.29032258064</v>
      </c>
      <c r="J128" s="254">
        <f>'Resultater - Vestdanmark'!J128+'Resultater - Østdanmark'!J128</f>
        <v>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7313.2964280407205</v>
      </c>
      <c r="J129" s="254">
        <f>'Resultater - Vestdanmark'!J129+'Resultater - Østdanmark'!J129</f>
        <v>0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-287748678.24929035</v>
      </c>
      <c r="J130" s="254">
        <f>'Resultater - Vestdanmark'!J130+'Resultater - Østdanmark'!J130</f>
        <v>0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-6820.0173740903219</v>
      </c>
      <c r="J131" s="254">
        <f>'Resultater - Vestdanmark'!J131+'Resultater - Østdanmark'!J131</f>
        <v>0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12444.355630934529</v>
      </c>
      <c r="J132" s="254">
        <f>'Resultater - Vestdanmark'!J132+'Resultater - Østdanmark'!J132</f>
        <v>0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963962.92903225811</v>
      </c>
      <c r="J133" s="254">
        <f>'Resultater - Vestdanmark'!J133+'Resultater - Østdanmark'!J133</f>
        <v>3446948.3667273573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1703.1012640517984</v>
      </c>
      <c r="J134" s="254">
        <f>'Resultater - Vestdanmark'!J134+'Resultater - Østdanmark'!J134</f>
        <v>6089.9666820052507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6412.8595283978093</v>
      </c>
      <c r="J135" s="254">
        <f>'Resultater - Vestdanmark'!J135+'Resultater - Østdanmark'!J135</f>
        <v>22931.167798801402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11806.451612903224</v>
      </c>
      <c r="J136" s="254">
        <f>'Resultater - Vestdanmark'!J136+'Resultater - Østdanmark'!J136</f>
        <v>42217.628788690155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1211.5585706689574</v>
      </c>
      <c r="J137" s="254">
        <f>'Resultater - Vestdanmark'!J137+'Resultater - Østdanmark'!J137</f>
        <v>4332.3033599999999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-47669936.636903226</v>
      </c>
      <c r="J138" s="254">
        <f>'Resultater - Vestdanmark'!J138+'Resultater - Østdanmark'!J138</f>
        <v>-170458640.352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-2128.1221712903225</v>
      </c>
      <c r="J139" s="254">
        <f>'Resultater - Vestdanmark'!J139+'Resultater - Østdanmark'!J139</f>
        <v>-7609.76073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2267.756059994073</v>
      </c>
      <c r="J140" s="254">
        <f>'Resultater - Vestdanmark'!J140+'Resultater - Østdanmark'!J140</f>
        <v>8109.0649979456357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5447797.8646546435</v>
      </c>
      <c r="J141" s="254">
        <f>'Resultater - Vestdanmark'!J141+'Resultater - Østdanmark'!J141</f>
        <v>0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1778147.6035286144</v>
      </c>
      <c r="J142" s="254">
        <f>'Resultater - Vestdanmark'!J142+'Resultater - Østdanmark'!J142</f>
        <v>0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-115790086.49254373</v>
      </c>
      <c r="J143" s="254">
        <f>'Resultater - Vestdanmark'!J143+'Resultater - Østdanmark'!J143</f>
        <v>0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1523212.1771484518</v>
      </c>
      <c r="J144" s="254">
        <f>'Resultater - Vestdanmark'!J144+'Resultater - Østdanmark'!J144</f>
        <v>0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121292.17235142596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39589.461825074555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-1745521.8564979588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198771.1458157431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72606.705557286681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23698.64717713448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-688936.36059175013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261172.77478226711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466697.66860610747</v>
      </c>
      <c r="J153" s="254">
        <f>'Resultater - Vestdanmark'!J153+'Resultater - Østdanmark'!J153</f>
        <v>642399.17873835156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152328.952288862</v>
      </c>
      <c r="J154" s="254">
        <f>'Resultater - Vestdanmark'!J154+'Resultater - Østdanmark'!J154</f>
        <v>209677.48594225117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-9919414.184651548</v>
      </c>
      <c r="J155" s="254">
        <f>'Resultater - Vestdanmark'!J155+'Resultater - Østdanmark'!J155</f>
        <v>-11994434.73801768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194760.21554570604</v>
      </c>
      <c r="J156" s="254">
        <f>'Resultater - Vestdanmark'!J156+'Resultater - Østdanmark'!J156</f>
        <v>201141.11725472321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10390.762554507737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3391.5189208849392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-149533.99541747582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25415.179699924476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6220.0142242068905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2030.1970927455686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-59019.259027983244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33393.946473359312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345075.05702064093</v>
      </c>
      <c r="J165" s="254">
        <f>'Resultater - Vestdanmark'!J165+'Resultater - Østdanmark'!J165</f>
        <v>0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-3119066.563528236</v>
      </c>
      <c r="J166" s="254">
        <f>'Resultater - Vestdanmark'!J166+'Resultater - Østdanmark'!J166</f>
        <v>0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32824.9183661071</v>
      </c>
      <c r="J167" s="254">
        <f>'Resultater - Vestdanmark'!J167+'Resultater - Østdanmark'!J167</f>
        <v>0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1538.0959274220711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-11295.822686708321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857.54053437183995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467.32356071603044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-2866.3176724199357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571.89923690970386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25149.437019367404</v>
      </c>
      <c r="J174" s="254">
        <f>'Resultater - Vestdanmark'!J174+'Resultater - Østdanmark'!J174</f>
        <v>358885.15356076573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-227320.88715985051</v>
      </c>
      <c r="J175" s="254">
        <f>'Resultater - Vestdanmark'!J175+'Resultater - Østdanmark'!J175</f>
        <v>-2852519.0878377003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4197.0437685321667</v>
      </c>
      <c r="J176" s="254">
        <f>'Resultater - Vestdanmark'!J176+'Resultater - Østdanmark'!J176</f>
        <v>44982.083310092959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112.09806640453026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-823.25156646810228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109.64643128451191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34.059037936176651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-208.90027926797691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73.123902449017365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41570.215026929582</v>
      </c>
      <c r="J183" s="254">
        <f>'Resultater - Vestdanmark'!J183+'Resultater - Østdanmark'!J183</f>
        <v>0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-32903526.591509439</v>
      </c>
      <c r="J184" s="254">
        <f>'Resultater - Vestdanmark'!J184+'Resultater - Østdanmark'!J184</f>
        <v>0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6595.719171410361</v>
      </c>
      <c r="J185" s="254">
        <f>'Resultater - Vestdanmark'!J185+'Resultater - Østdanmark'!J185</f>
        <v>0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3029.6814661941517</v>
      </c>
      <c r="J186" s="254">
        <f>'Resultater - Vestdanmark'!J186+'Resultater - Østdanmark'!J186</f>
        <v>43246.366867106481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-2398043.9991023447</v>
      </c>
      <c r="J187" s="254">
        <f>'Resultater - Vestdanmark'!J187+'Resultater - Østdanmark'!J187</f>
        <v>-29951450.422295857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843.33864104713791</v>
      </c>
      <c r="J188" s="254">
        <f>'Resultater - Vestdanmark'!J188+'Resultater - Østdanmark'!J188</f>
        <v>8996.4166620185933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2991689.6515738093</v>
      </c>
      <c r="J189" s="254">
        <f>'Resultater - Vestdanmark'!J189+'Resultater - Østdanmark'!J189</f>
        <v>0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-9839312.8135439679</v>
      </c>
      <c r="J190" s="254">
        <f>'Resultater - Vestdanmark'!J190+'Resultater - Østdanmark'!J190</f>
        <v>0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138064.65633437407</v>
      </c>
      <c r="J191" s="254">
        <f>'Resultater - Vestdanmark'!J191+'Resultater - Østdanmark'!J191</f>
        <v>0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39589.844249657115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-86804.204798213003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10708.556174129379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39605.450816726487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-55824.700863158665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23514.334494953317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218037.52239689766</v>
      </c>
      <c r="J198" s="254">
        <f>'Resultater - Vestdanmark'!J198+'Resultater - Østdanmark'!J198</f>
        <v>3114555.2534101894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-717099.57843541587</v>
      </c>
      <c r="J199" s="254">
        <f>'Resultater - Vestdanmark'!J199+'Resultater - Østdanmark'!J199</f>
        <v>-8998470.2282504365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17653.156027983805</v>
      </c>
      <c r="J200" s="254">
        <f>'Resultater - Vestdanmark'!J200+'Resultater - Østdanmark'!J200</f>
        <v>189198.82158258971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2885.3499385316636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-6326.3827308687387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1369.2122082171863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2886.4873617316725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-4068.5635484776735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3006.5784159002346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22722841.463038135</v>
      </c>
      <c r="J207" s="254">
        <f>'Resultater - Vestdanmark'!J207+'Resultater - Østdanmark'!J207</f>
        <v>0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-66097647.883297324</v>
      </c>
      <c r="J208" s="254">
        <f>'Resultater - Vestdanmark'!J208+'Resultater - Østdanmark'!J208</f>
        <v>0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785998.55226317805</v>
      </c>
      <c r="J209" s="254">
        <f>'Resultater - Vestdanmark'!J209+'Resultater - Østdanmark'!J209</f>
        <v>0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744836.96007445804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-1514310.7095495339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151008.52850480258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897401.23273887276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-1263105.4056212243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399353.52588949015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2266193.9962697052</v>
      </c>
      <c r="J216" s="254">
        <f>'Resultater - Vestdanmark'!J216+'Resultater - Østdanmark'!J216</f>
        <v>45205882.927890651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-6592049.3721848903</v>
      </c>
      <c r="J217" s="254">
        <f>'Resultater - Vestdanmark'!J217+'Resultater - Østdanmark'!J217</f>
        <v>-115516158.57599999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100498.96511723475</v>
      </c>
      <c r="J218" s="254">
        <f>'Resultater - Vestdanmark'!J218+'Resultater - Østdanmark'!J218</f>
        <v>1226886.1374549952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74284.065655529557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-151025.20712694508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19308.179124390568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89499.602819741427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-125972.00449295875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51061.946554800015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656136.02254259528</v>
      </c>
      <c r="J225" s="254">
        <f>'Resultater - Vestdanmark'!J225+'Resultater - Østdanmark'!J225</f>
        <v>0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194792.83795283182</v>
      </c>
      <c r="J226" s="254">
        <f>'Resultater - Vestdanmark'!J226+'Resultater - Østdanmark'!J226</f>
        <v>0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333168.56078101287</v>
      </c>
      <c r="J228" s="254">
        <f>'Resultater - Vestdanmark'!J228+'Resultater - Østdanmark'!J228</f>
        <v>0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5074.223285732628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1506.4290334250547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15101.526674816298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2020.7550594979157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599.91922303212493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13200.657395197431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47819.890888509464</v>
      </c>
      <c r="J237" s="254">
        <f>'Resultater - Vestdanmark'!J237+'Resultater - Østdanmark'!J237</f>
        <v>891576.46333224361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14196.709122402759</v>
      </c>
      <c r="J238" s="254">
        <f>'Resultater - Vestdanmark'!J238+'Resultater - Østdanmark'!J238</f>
        <v>264690.10018903832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42599.43669321046</v>
      </c>
      <c r="J240" s="254">
        <f>'Resultater - Vestdanmark'!J240+'Resultater - Østdanmark'!J240</f>
        <v>595916.12390671193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369.81478768286331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109.79014950363033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1930.9040686390247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147.27477708529651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43.722750773759273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1687.8560440914237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3520028.528890539</v>
      </c>
      <c r="J249" s="254">
        <f>'Resultater - Vestdanmark'!J249+'Resultater - Østdanmark'!J249</f>
        <v>0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-5446093.16610316</v>
      </c>
      <c r="J250" s="254">
        <f>'Resultater - Vestdanmark'!J250+'Resultater - Østdanmark'!J250</f>
        <v>0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84910.286316833473</v>
      </c>
      <c r="J251" s="254">
        <f>'Resultater - Vestdanmark'!J251+'Resultater - Østdanmark'!J251</f>
        <v>0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8672.0660805746375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-8696.3246864409994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1226.0772933714397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3816.7396249190883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-2343.3160985413992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1184.4545740477158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256543.42147486436</v>
      </c>
      <c r="J258" s="254">
        <f>'Resultater - Vestdanmark'!J258+'Resultater - Østdanmark'!J258</f>
        <v>3664592.462337262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-396917.05991466634</v>
      </c>
      <c r="J259" s="254">
        <f>'Resultater - Vestdanmark'!J259+'Resultater - Østdanmark'!J259</f>
        <v>-4980683.9302841583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10856.757786740303</v>
      </c>
      <c r="J260" s="254">
        <f>'Resultater - Vestdanmark'!J260+'Resultater - Østdanmark'!J260</f>
        <v>116357.99152303027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632.02939558786625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-633.79738857374355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156.76809935944004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278.16804159938152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-170.78336853889599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151.44615543809968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594216.67452181817</v>
      </c>
      <c r="J267" s="254">
        <f>'Resultater - Vestdanmark'!J267+'Resultater - Østdanmark'!J267</f>
        <v>0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-9124595.2379600834</v>
      </c>
      <c r="J268" s="254">
        <f>'Resultater - Vestdanmark'!J268+'Resultater - Østdanmark'!J268</f>
        <v>0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118598.30643264289</v>
      </c>
      <c r="J269" s="254">
        <f>'Resultater - Vestdanmark'!J269+'Resultater - Østdanmark'!J269</f>
        <v>0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604.19923108794887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-7731.5700696786462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545.0581157599845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412.37581705253001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-4523.0764393132813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852.41972688416968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43307.142975710674</v>
      </c>
      <c r="J276" s="254">
        <f>'Resultater - Vestdanmark'!J276+'Resultater - Østdanmark'!J276</f>
        <v>1032360.8523594537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-665010.20168076199</v>
      </c>
      <c r="J277" s="254">
        <f>'Resultater - Vestdanmark'!J277+'Resultater - Østdanmark'!J277</f>
        <v>-13925946.326753503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15164.159051970395</v>
      </c>
      <c r="J278" s="254">
        <f>'Resultater - Vestdanmark'!J278+'Resultater - Østdanmark'!J278</f>
        <v>271219.92444220994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44.034682311123014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-563.48504643318324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69.691956053739659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30.054387960739884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-329.64661956859356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108.99167708478264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1204832.0702652656</v>
      </c>
      <c r="J285" s="254">
        <f>'Resultater - Vestdanmark'!J285+'Resultater - Østdanmark'!J285</f>
        <v>0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-5350088.2117567128</v>
      </c>
      <c r="J286" s="254">
        <f>'Resultater - Vestdanmark'!J286+'Resultater - Østdanmark'!J286</f>
        <v>0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79255.025984564112</v>
      </c>
      <c r="J287" s="254">
        <f>'Resultater - Vestdanmark'!J287+'Resultater - Østdanmark'!J287</f>
        <v>0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31500.354944719667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-102549.96127818391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12144.982407394153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21234.796188628912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-51156.38768926631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17970.499317053123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87809.442188218993</v>
      </c>
      <c r="J294" s="254">
        <f>'Resultater - Vestdanmark'!J294+'Resultater - Østdanmark'!J294</f>
        <v>120867.78516734685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-389920.11677502131</v>
      </c>
      <c r="J295" s="254">
        <f>'Resultater - Vestdanmark'!J295+'Resultater - Østdanmark'!J295</f>
        <v>-471486.65300565981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10133.667636987308</v>
      </c>
      <c r="J296" s="254">
        <f>'Resultater - Vestdanmark'!J296+'Resultater - Østdanmark'!J296</f>
        <v>10465.675572808723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2295.7793577139332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-7473.9502031002585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1552.8758415593775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1547.6145218258464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-3728.3319212857195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2297.7352551141848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4682131.3106018631</v>
      </c>
      <c r="J303" s="254">
        <f>'Resultater - Vestdanmark'!J303+'Resultater - Østdanmark'!J303</f>
        <v>0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-15673082.016557895</v>
      </c>
      <c r="J304" s="254">
        <f>'Resultater - Vestdanmark'!J304+'Resultater - Østdanmark'!J304</f>
        <v>0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206178.52619537275</v>
      </c>
      <c r="J305" s="254">
        <f>'Resultater - Vestdanmark'!J305+'Resultater - Østdanmark'!J305</f>
        <v>0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139971.71174409144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-317243.85181372147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36126.115346689716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55586.836032438863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-83068.191139777337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31490.789595550887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496891.45154274435</v>
      </c>
      <c r="J312" s="254">
        <f>'Resultater - Vestdanmark'!J312+'Resultater - Østdanmark'!J312</f>
        <v>683960.2634967803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-1663306.7201088071</v>
      </c>
      <c r="J313" s="254">
        <f>'Resultater - Vestdanmark'!J313+'Resultater - Østdanmark'!J313</f>
        <v>-2011250.2142032641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26362.298572139945</v>
      </c>
      <c r="J314" s="254">
        <f>'Resultater - Vestdanmark'!J314+'Resultater - Østdanmark'!J314</f>
        <v>27226.002874074802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14854.505867009484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-33667.521810802886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4619.1398134185274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5899.1561343623644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-8815.6165075960471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4026.4600436792825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888248.20011897793</v>
      </c>
      <c r="J321" s="254">
        <f>'Resultater - Vestdanmark'!J321+'Resultater - Østdanmark'!J321</f>
        <v>0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474417.80492454662</v>
      </c>
      <c r="J322" s="254">
        <f>'Resultater - Vestdanmark'!J322+'Resultater - Østdanmark'!J322</f>
        <v>0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-32897897.025108565</v>
      </c>
      <c r="J323" s="254">
        <f>'Resultater - Vestdanmark'!J323+'Resultater - Østdanmark'!J323</f>
        <v>0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395675.44136180991</v>
      </c>
      <c r="J324" s="254">
        <f>'Resultater - Vestdanmark'!J324+'Resultater - Østdanmark'!J324</f>
        <v>0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7208.8238457347543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3850.2688601261611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-184351.60435808275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18821.330529323604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3513.2582751236932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1876.4488110349403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-61076.709940670553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20133.83897420892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62465.017959883771</v>
      </c>
      <c r="J333" s="254">
        <f>'Resultater - Vestdanmark'!J333+'Resultater - Østdanmark'!J333</f>
        <v>865274.96481497539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33362.878417463719</v>
      </c>
      <c r="J334" s="254">
        <f>'Resultater - Vestdanmark'!J334+'Resultater - Østdanmark'!J334</f>
        <v>462147.68508250231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-2313506.2117103725</v>
      </c>
      <c r="J335" s="254">
        <f>'Resultater - Vestdanmark'!J335+'Resultater - Østdanmark'!J335</f>
        <v>-28152201.000000007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50591.661097427052</v>
      </c>
      <c r="J336" s="254">
        <f>'Resultater - Vestdanmark'!J336+'Resultater - Østdanmark'!J336</f>
        <v>525808.34462356928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506.95212321639798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270.7656637704942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-12964.311411628594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2406.5238223149991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247.06578772004988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131.95907255021723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-4295.1483412671932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2574.3431395882949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834499.49714928633</v>
      </c>
      <c r="J345" s="254">
        <f>'Resultater - Vestdanmark'!J345+'Resultater - Østdanmark'!J345</f>
        <v>0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138634.90866595658</v>
      </c>
      <c r="J346" s="254">
        <f>'Resultater - Vestdanmark'!J346+'Resultater - Østdanmark'!J346</f>
        <v>0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-8157708.1268554069</v>
      </c>
      <c r="J347" s="254">
        <f>'Resultater - Vestdanmark'!J347+'Resultater - Østdanmark'!J347</f>
        <v>0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114468.47867872083</v>
      </c>
      <c r="J348" s="254">
        <f>'Resultater - Vestdanmark'!J348+'Resultater - Østdanmark'!J348</f>
        <v>0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46625.079099309049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7745.796857345942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-341840.03823521803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37485.262998419246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41146.489055010592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6835.6419285483507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-229845.93026959494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72611.326210837375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60819.210543503243</v>
      </c>
      <c r="J357" s="254">
        <f>'Resultater - Vestdanmark'!J357+'Resultater - Østdanmark'!J357</f>
        <v>83716.319006591395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10103.859532135568</v>
      </c>
      <c r="J358" s="254">
        <f>'Resultater - Vestdanmark'!J358+'Resultater - Østdanmark'!J358</f>
        <v>13907.742639721026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-594542.44108538912</v>
      </c>
      <c r="J359" s="254">
        <f>'Resultater - Vestdanmark'!J359+'Resultater - Østdanmark'!J359</f>
        <v>-718913.47370237135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14636.113021622705</v>
      </c>
      <c r="J360" s="254">
        <f>'Resultater - Vestdanmark'!J360+'Resultater - Østdanmark'!J360</f>
        <v>15115.633946013566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3398.0853338262496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564.52190984346782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-24913.665411002225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4792.9224903039194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2998.7998668799214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498.1888510089874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-16751.415756854676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9284.1941234717488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802949.18566601502</v>
      </c>
      <c r="J369" s="254">
        <f>'Resultater - Vestdanmark'!J369+'Resultater - Østdanmark'!J369</f>
        <v>0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-1644974.5050322893</v>
      </c>
      <c r="J370" s="254">
        <f>'Resultater - Vestdanmark'!J370+'Resultater - Østdanmark'!J370</f>
        <v>0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27211.933487807302</v>
      </c>
      <c r="J371" s="254">
        <f>'Resultater - Vestdanmark'!J371+'Resultater - Østdanmark'!J371</f>
        <v>0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14553.207066073377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-22586.861392964722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2229.2513423745231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9787.5380130538288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-11718.347153585102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3435.3536383925029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58519.790300148772</v>
      </c>
      <c r="J378" s="254">
        <f>'Resultater - Vestdanmark'!J378+'Resultater - Østdanmark'!J378</f>
        <v>515416.99573239626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-119887.490767842</v>
      </c>
      <c r="J379" s="254">
        <f>'Resultater - Vestdanmark'!J379+'Resultater - Østdanmark'!J379</f>
        <v>-927586.15979025408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3479.3590223407537</v>
      </c>
      <c r="J380" s="254">
        <f>'Resultater - Vestdanmark'!J380+'Resultater - Østdanmark'!J380</f>
        <v>22992.515303746361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1060.6532030975866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-1646.1544713548196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285.03545235517294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713.32617593174211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-854.04559881748719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439.24951830518495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1066562.9388888984</v>
      </c>
      <c r="J387" s="254">
        <f>'Resultater - Vestdanmark'!J387+'Resultater - Østdanmark'!J387</f>
        <v>0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-4886523.8180806534</v>
      </c>
      <c r="J388" s="254">
        <f>'Resultater - Vestdanmark'!J388+'Resultater - Østdanmark'!J388</f>
        <v>0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74098.887646967662</v>
      </c>
      <c r="J389" s="254">
        <f>'Resultater - Vestdanmark'!J389+'Resultater - Østdanmark'!J389</f>
        <v>0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12009.80534093025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-45853.052602553391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3771.2919798753105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11636.070369211378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-38079.552373860657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8372.5584599111808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77732.240893821785</v>
      </c>
      <c r="J396" s="254">
        <f>'Resultater - Vestdanmark'!J396+'Resultater - Østdanmark'!J396</f>
        <v>1753629.766003873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-356135.05092924513</v>
      </c>
      <c r="J397" s="254">
        <f>'Resultater - Vestdanmark'!J397+'Resultater - Østdanmark'!J397</f>
        <v>-7057905.7627517823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9474.3959812855319</v>
      </c>
      <c r="J398" s="254">
        <f>'Resultater - Vestdanmark'!J398+'Resultater - Østdanmark'!J398</f>
        <v>160368.66674922593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875.28738137257142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-3341.8192219690882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482.20310335316083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848.04917930044485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-2775.2782609692554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1070.5280031137806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1411004.6038271608</v>
      </c>
      <c r="J405" s="254">
        <f>'Resultater - Vestdanmark'!J405+'Resultater - Østdanmark'!J405</f>
        <v>0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-4764118.9620526787</v>
      </c>
      <c r="J406" s="254">
        <f>'Resultater - Vestdanmark'!J406+'Resultater - Østdanmark'!J406</f>
        <v>0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173382.59859889775</v>
      </c>
      <c r="J407" s="254">
        <f>'Resultater - Vestdanmark'!J407+'Resultater - Østdanmark'!J407</f>
        <v>0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623331.76565629267</v>
      </c>
      <c r="J408" s="254">
        <f>'Resultater - Vestdanmark'!J408+'Resultater - Østdanmark'!J408</f>
        <v>0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-1753848.9222254639</v>
      </c>
      <c r="J409" s="254">
        <f>'Resultater - Vestdanmark'!J409+'Resultater - Østdanmark'!J409</f>
        <v>0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346198.61486474855</v>
      </c>
      <c r="J410" s="254">
        <f>'Resultater - Vestdanmark'!J410+'Resultater - Østdanmark'!J410</f>
        <v>0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632512.25781539013</v>
      </c>
      <c r="J411" s="254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-1525439.8143076357</v>
      </c>
      <c r="J412" s="254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804956.98459736141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180413.18530673673</v>
      </c>
      <c r="J414" s="254">
        <f>'Resultater - Vestdanmark'!J414+'Resultater - Østdanmark'!J414</f>
        <v>248334.82117185142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-609147.4647161623</v>
      </c>
      <c r="J415" s="254">
        <f>'Resultater - Vestdanmark'!J415+'Resultater - Østdanmark'!J415</f>
        <v>-736573.69027620589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22168.961607313187</v>
      </c>
      <c r="J416" s="254">
        <f>'Resultater - Vestdanmark'!J416+'Resultater - Østdanmark'!J416</f>
        <v>22895.280196614818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79700.143458000675</v>
      </c>
      <c r="J417" s="254">
        <f>'Resultater - Vestdanmark'!J417+'Resultater - Østdanmark'!J417</f>
        <v>203304.67835244909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-224249.77902073675</v>
      </c>
      <c r="J418" s="254">
        <f>'Resultater - Vestdanmark'!J418+'Resultater - Østdanmark'!J418</f>
        <v>-502510.00000000006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44265.479139556548</v>
      </c>
      <c r="J419" s="254">
        <f>'Resultater - Vestdanmark'!J419+'Resultater - Østdanmark'!J419</f>
        <v>84719.757662516611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80873.975087333296</v>
      </c>
      <c r="J420" s="254">
        <f>'Resultater - Vestdanmark'!J420+'Resultater - Østdanmark'!J420</f>
        <v>184630.6892368336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-195045.04460615417</v>
      </c>
      <c r="J421" s="254">
        <f>'Resultater - Vestdanmark'!J421+'Resultater - Østdanmark'!J421</f>
        <v>-391159.99999999983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102923.01898393017</v>
      </c>
      <c r="J422" s="254">
        <f>'Resultater - Vestdanmark'!J422+'Resultater - Østdanmark'!J422</f>
        <v>176294.5487547456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789510.6267450063</v>
      </c>
      <c r="J423" s="254">
        <f ca="1">'Resultater - Vestdanmark'!J423+'Resultater - Østdanmark'!J423</f>
        <v>814379.14075048931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855303.17897375696</v>
      </c>
      <c r="J424" s="254">
        <f ca="1">'Resultater - Vestdanmark'!J424+'Resultater - Østdanmark'!J424</f>
        <v>882244.0691463633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-122610.02662156825</v>
      </c>
      <c r="J425" s="254">
        <f ca="1">'Resultater - Vestdanmark'!J425+'Resultater - Østdanmark'!J425</f>
        <v>-438942.57839262037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1460315.2156438841</v>
      </c>
      <c r="J426" s="254">
        <f>'Resultater - Vestdanmark'!J426+'Resultater - Østdanmark'!J426</f>
        <v>0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56850.224200368895</v>
      </c>
      <c r="J427" s="254">
        <f>'Resultater - Vestdanmark'!J427+'Resultater - Østdanmark'!J427</f>
        <v>0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7470.1194599284727</v>
      </c>
      <c r="J428" s="254">
        <f>'Resultater - Vestdanmark'!J428+'Resultater - Østdanmark'!J428</f>
        <v>0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756843.52817050298</v>
      </c>
      <c r="J429" s="254">
        <f>'Resultater - Vestdanmark'!J429+'Resultater - Østdanmark'!J429</f>
        <v>0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1089799.8193435918</v>
      </c>
      <c r="J430" s="254">
        <f>'Resultater - Vestdanmark'!J430+'Resultater - Østdanmark'!J430</f>
        <v>56067.802327067431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20878.853359014196</v>
      </c>
      <c r="J431" s="254">
        <f>'Resultater - Vestdanmark'!J431+'Resultater - Østdanmark'!J431</f>
        <v>1074.171056161608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97192.539663571384</v>
      </c>
      <c r="J432" s="254">
        <f>'Resultater - Vestdanmark'!J432+'Resultater - Østdanmark'!J432</f>
        <v>5000.3422691013538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95899.921973302218</v>
      </c>
      <c r="J433" s="254">
        <f>'Resultater - Vestdanmark'!J433+'Resultater - Østdanmark'!J433</f>
        <v>4933.8399336668199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94202.59631534839</v>
      </c>
      <c r="J434" s="254">
        <f>'Resultater - Vestdanmark'!J434+'Resultater - Østdanmark'!J434</f>
        <v>4193.3637747548428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45689.022605134538</v>
      </c>
      <c r="J435" s="254">
        <f>'Resultater - Vestdanmark'!J435+'Resultater - Østdanmark'!J435</f>
        <v>2033.8154126343388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6030.7983054396473</v>
      </c>
      <c r="J436" s="254">
        <f>'Resultater - Vestdanmark'!J436+'Resultater - Østdanmark'!J436</f>
        <v>268.45683809208481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61987.445873632809</v>
      </c>
      <c r="J437" s="254">
        <f>'Resultater - Vestdanmark'!J437+'Resultater - Østdanmark'!J437</f>
        <v>2759.328513047757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158635.6599520123</v>
      </c>
      <c r="J438" s="254">
        <f>'Resultater - Vestdanmark'!J438+'Resultater - Østdanmark'!J438</f>
        <v>6505.3390543143432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585.12501616057455</v>
      </c>
      <c r="J439" s="257">
        <f>'Resultater - Vestdanmark'!J439+'Resultater - Østdanmark'!J439</f>
        <v>23.994835842314107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2730553382.25739</v>
      </c>
      <c r="J440" s="251">
        <f>'Resultater - Vestdanmark'!J440+'Resultater - Østdanmark'!J440</f>
        <v>125680101.14127618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103317587.97500049</v>
      </c>
      <c r="J441" s="254">
        <f>'Resultater - Vestdanmark'!J441+'Resultater - Østdanmark'!J441</f>
        <v>13957836.112392019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49138852.817378275</v>
      </c>
      <c r="J443" s="254">
        <f>'Resultater - Vestdanmark'!J443+'Resultater - Østdanmark'!J443</f>
        <v>6638483.029064496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90087896.83186017</v>
      </c>
      <c r="J444" s="254">
        <f>'Resultater - Vestdanmark'!J444+'Resultater - Østdanmark'!J444</f>
        <v>12170552.219951576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1052997676.0278655</v>
      </c>
      <c r="J445" s="254">
        <f>'Resultater - Vestdanmark'!J445+'Resultater - Østdanmark'!J445</f>
        <v>142018514.28964207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151826455.49984825</v>
      </c>
      <c r="J446" s="254">
        <f>'Resultater - Vestdanmark'!J446+'Resultater - Østdanmark'!J446</f>
        <v>20511210.384673636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1431326584.6292748</v>
      </c>
      <c r="J449" s="254">
        <f>'Resultater - Vestdanmark'!J449+'Resultater - Østdanmark'!J449</f>
        <v>193367095.41069916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66250066.246754833</v>
      </c>
      <c r="J450" s="254">
        <f>'Resultater - Vestdanmark'!J450+'Resultater - Østdanmark'!J450</f>
        <v>0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242562595.202663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486254266.9873423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85491178.66175212</v>
      </c>
      <c r="J453" s="254">
        <f>'Resultater - Vestdanmark'!J453+'Resultater - Østdanmark'!J453</f>
        <v>13824811.125540378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1628207149.5981586</v>
      </c>
      <c r="J454" s="254">
        <f>'Resultater - Vestdanmark'!J454+'Resultater - Østdanmark'!J454</f>
        <v>0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108163364.51612903</v>
      </c>
      <c r="J458" s="254">
        <f>'Resultater - Vestdanmark'!J458+'Resultater - Østdanmark'!J458</f>
        <v>0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-114721.6702581476</v>
      </c>
      <c r="J459" s="260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68731307.232958764</v>
      </c>
      <c r="J460" s="254">
        <f>'Resultater - Vestdanmark'!J460+'Resultater - Østdanmark'!J460</f>
        <v>934374.75811241684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-143440.55522806419</v>
      </c>
      <c r="J461" s="260">
        <f>'Resultater - Vestdanmark'!J461+'Resultater - Østdanmark'!J461</f>
        <v>-1950.0172409126403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68694.244838709681</v>
      </c>
      <c r="J462" s="254">
        <f>'Resultater - Vestdanmark'!J462+'Resultater - Østdanmark'!J462</f>
        <v>71800.707180841913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90452188.389879122</v>
      </c>
      <c r="J463" s="254">
        <f>'Resultater - Vestdanmark'!J463+'Resultater - Østdanmark'!J463</f>
        <v>35513699.281061076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223747602.72880718</v>
      </c>
      <c r="J471" s="254">
        <f>'Resultater - Vestdanmark'!J471+'Resultater - Østdanmark'!J471</f>
        <v>102223908.40074809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38189284.152657539</v>
      </c>
      <c r="J473" s="254">
        <f>'Resultater - Vestdanmark'!J473+'Resultater - Østdanmark'!J473</f>
        <v>39505704.530032769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29683764.940959971</v>
      </c>
      <c r="J474" s="260">
        <f ca="1">'Resultater - Vestdanmark'!J474+'Resultater - Østdanmark'!J474</f>
        <v>9162173.1315538213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15924050.887096774</v>
      </c>
      <c r="J475" s="260">
        <f>'Resultater - Vestdanmark'!J475+'Resultater - Østdanmark'!J475</f>
        <v>0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12998828.791103315</v>
      </c>
      <c r="J476" s="260">
        <f>'Resultater - Vestdanmark'!J476+'Resultater - Østdanmark'!J476</f>
        <v>58904.634081161028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12235.616129032258</v>
      </c>
      <c r="J477" s="260">
        <f>'Resultater - Vestdanmark'!J477+'Resultater - Østdanmark'!J477</f>
        <v>4262.9766774036752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2663314.4359242185</v>
      </c>
      <c r="J478" s="260">
        <f>'Resultater - Vestdanmark'!J478+'Resultater - Østdanmark'!J478</f>
        <v>348560.38183263643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173480498.19495839</v>
      </c>
      <c r="J479" s="260">
        <f ca="1">'Resultater - Vestdanmark'!J479+'Resultater - Østdanmark'!J479</f>
        <v>1579202.9907608109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148777910.51745322</v>
      </c>
      <c r="J480" s="260">
        <f ca="1">'Resultater - Vestdanmark'!J480+'Resultater - Østdanmark'!J480</f>
        <v>227198319.27981693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18.371960713394262</v>
      </c>
      <c r="J481" s="264">
        <f>'Resultater - Vestdanmark'!J481+'Resultater - Østdanmark'!J481</f>
        <v>8.2378207740437297</v>
      </c>
      <c r="L481" s="152" t="s">
        <v>214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10.776520362839355</v>
      </c>
      <c r="J482" s="264">
        <f>'Resultater - Vestdanmark'!J482+'Resultater - Østdanmark'!J482</f>
        <v>9.6910796059277224</v>
      </c>
      <c r="L482" s="152" t="s">
        <v>218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21.521824813785038</v>
      </c>
      <c r="J483" s="264">
        <f>'Resultater - Vestdanmark'!J483+'Resultater - Østdanmark'!J483</f>
        <v>32.266787694471262</v>
      </c>
      <c r="L483" s="152" t="s">
        <v>215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41.433609356083267</v>
      </c>
      <c r="J484" s="264">
        <f ca="1">'Resultater - Vestdanmark'!J484+'Resultater - Østdanmark'!J484</f>
        <v>40.017687395755054</v>
      </c>
      <c r="L484" s="152" t="s">
        <v>216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217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18.994484617528254</v>
      </c>
      <c r="J489" s="267">
        <f ca="1">'Resultater - Vestdanmark'!J489+'Resultater - Østdanmark'!J489</f>
        <v>6.3990866019902066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6450381.339929576</v>
      </c>
      <c r="J490" s="270">
        <f>'Resultater - Vestdanmark'!J490+'Resultater - Østdanmark'!J490</f>
        <v>2455829.6312492033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13280196.876325598</v>
      </c>
      <c r="J491" s="270">
        <f>'Resultater - Vestdanmark'!J491+'Resultater - Østdanmark'!J491</f>
        <v>5056119.8290424775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18854859.577920679</v>
      </c>
      <c r="J492" s="270">
        <f>'Resultater - Vestdanmark'!J492+'Resultater - Østdanmark'!J492</f>
        <v>7178540.3690576199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481094.65905532835</v>
      </c>
      <c r="J493" s="270">
        <f>'Resultater - Vestdanmark'!J493+'Resultater - Østdanmark'!J493</f>
        <v>432637.4824074877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307900.58179541014</v>
      </c>
      <c r="J494" s="270">
        <f>'Resultater - Vestdanmark'!J494+'Resultater - Østdanmark'!J494</f>
        <v>276887.98874079209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G262" activePane="bottomRight" state="frozen"/>
      <selection pane="topRight" activeCell="F1" sqref="F1"/>
      <selection pane="bottomLeft" activeCell="A3" sqref="A3"/>
      <selection pane="bottomRight" activeCell="J52" sqref="J52:J291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44" t="s">
        <v>247</v>
      </c>
      <c r="B1" s="444"/>
      <c r="C1" s="444"/>
      <c r="D1" s="393"/>
      <c r="G1" s="445" t="s">
        <v>249</v>
      </c>
      <c r="H1" s="445"/>
      <c r="I1" s="445"/>
      <c r="J1" s="445"/>
      <c r="K1" s="445"/>
      <c r="L1" s="445"/>
      <c r="M1" s="445"/>
      <c r="N1" s="446"/>
      <c r="O1" s="447" t="s">
        <v>250</v>
      </c>
      <c r="P1" s="448"/>
      <c r="Q1" s="449"/>
      <c r="R1" s="441" t="s">
        <v>122</v>
      </c>
      <c r="S1" s="441"/>
      <c r="T1" s="441"/>
      <c r="U1" s="442"/>
      <c r="V1" s="443" t="s">
        <v>228</v>
      </c>
      <c r="W1" s="441"/>
      <c r="X1" s="441"/>
      <c r="Y1" s="442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310</v>
      </c>
      <c r="C3" s="91" t="s">
        <v>129</v>
      </c>
      <c r="D3" s="91" t="s">
        <v>337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229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207</v>
      </c>
      <c r="B9" s="171" t="s">
        <v>229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221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203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221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223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202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0</v>
      </c>
      <c r="AA19">
        <f t="shared" si="2"/>
        <v>1</v>
      </c>
    </row>
    <row r="20" spans="1:27" x14ac:dyDescent="0.25">
      <c r="A20" s="171" t="s">
        <v>67</v>
      </c>
      <c r="B20" s="171" t="s">
        <v>226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x14ac:dyDescent="0.25">
      <c r="A21" s="171" t="s">
        <v>162</v>
      </c>
      <c r="B21" s="171" t="s">
        <v>229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229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226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221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223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225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224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305</v>
      </c>
      <c r="B36" s="171" t="s">
        <v>311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306</v>
      </c>
      <c r="B37" s="171" t="s">
        <v>311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237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230</v>
      </c>
      <c r="B41" s="171" t="s">
        <v>230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223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229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221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225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224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170645.52593143433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/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170645.52593143433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545577.01129372371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40228.873469919854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/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505348.13782380387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/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457487622.60657209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/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457487622.60657209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457487622.60657209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25538906.878535587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/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21322392.885014642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4216513.9935209453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16722386.865540422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/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12541790.149155317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4180596.7163851056</v>
      </c>
      <c r="P57" s="94">
        <f t="shared" si="4"/>
        <v>4180596.7163851056</v>
      </c>
      <c r="Q57" s="180">
        <f t="shared" si="10"/>
        <v>12541790.149155317</v>
      </c>
      <c r="R57">
        <f>IFERROR(VLOOKUP(A57,[1]Energiindhold!$A$2:$C$11,3,FALSE),IFERROR(VLOOKUP(A57,[1]Biogasudbytte!$A$2:$B$18,2,FALSE)*[1]Energiindhold!$C$10,0))*P57</f>
        <v>2.3746879520730859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9.4987518082923437</v>
      </c>
      <c r="T57">
        <f>IFERROR(VLOOKUP(A57,[1]Biogasudbytte!$A$2:$B$18,2,FALSE)*[1]Energiindhold!$C$10,0)*K57*IFERROR(VLOOKUP(A57,Biogasanlæg!$F$3:$G$8,2,FALSE),1)</f>
        <v>7.1240638562192586</v>
      </c>
      <c r="U57" s="170">
        <f t="shared" si="11"/>
        <v>2.374687952073085</v>
      </c>
      <c r="V57" s="169">
        <f>P57*IFERROR(VLOOKUP(A57,[1]Tørstofindhold!A$2:B$24,2,FALSE),0)</f>
        <v>178776.47760845334</v>
      </c>
      <c r="W57">
        <f>IF(E57=År1,Q57,SUM(P57,Q57))*IFERROR(VLOOKUP(A57,[1]Tørstofindhold!A$2:B$24,2,FALSE),0)</f>
        <v>715105.91043381335</v>
      </c>
      <c r="X57">
        <f>K57*IFERROR(VLOOKUP(A57,[1]Tørstofindhold!A$2:B$24,2,FALSE),0)</f>
        <v>536329.43282535998</v>
      </c>
      <c r="Y57" s="170">
        <f t="shared" si="12"/>
        <v>178776.47760845337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1772243.3904723523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/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1329182.5428542641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167730.1780268476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275330.66959124058</v>
      </c>
      <c r="P58" s="94">
        <f t="shared" si="4"/>
        <v>275330.66959124058</v>
      </c>
      <c r="Q58" s="180">
        <f t="shared" si="10"/>
        <v>1329182.5428542641</v>
      </c>
      <c r="R58">
        <f>IFERROR(VLOOKUP(A58,[1]Energiindhold!$A$2:$C$11,3,FALSE),IFERROR(VLOOKUP(A58,[1]Biogasudbytte!$A$2:$B$18,2,FALSE)*[1]Energiindhold!$C$10,0))*P58</f>
        <v>0.59306226229953218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3.4561214596076173</v>
      </c>
      <c r="T58">
        <f>IFERROR(VLOOKUP(A58,[1]Biogasudbytte!$A$2:$B$18,2,FALSE)*[1]Energiindhold!$C$10,0)*K58*IFERROR(VLOOKUP(A58,Biogasanlæg!$F$3:$G$8,2,FALSE),1)</f>
        <v>2.8630591973080852</v>
      </c>
      <c r="U58" s="170">
        <f t="shared" si="11"/>
        <v>0.59306226229953207</v>
      </c>
      <c r="V58" s="169">
        <f>P58*IFERROR(VLOOKUP(A58,[1]Tørstofindhold!A$2:B$24,2,FALSE),0)</f>
        <v>82599.200877372175</v>
      </c>
      <c r="W58">
        <f>IF(E58=År1,Q58,SUM(P58,Q58))*IFERROR(VLOOKUP(A58,[1]Tørstofindhold!A$2:B$24,2,FALSE),0)</f>
        <v>481353.96373365138</v>
      </c>
      <c r="X58">
        <f>K58*IFERROR(VLOOKUP(A58,[1]Tørstofindhold!A$2:B$24,2,FALSE),0)</f>
        <v>398754.76285627921</v>
      </c>
      <c r="Y58" s="170">
        <f t="shared" si="12"/>
        <v>82599.200877372175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11778214.995380456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1826272.75668226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/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9951942.2386981957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6450.400880208218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/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4837.8006601561638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1612.6002200520545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4837.8006601561638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2.2751692724648424E-3</v>
      </c>
      <c r="T60">
        <f>IFERROR(VLOOKUP(A60,[1]Biogasudbytte!$A$2:$B$18,2,FALSE)*[1]Energiindhold!$C$10,0)*K60*IFERROR(VLOOKUP(A60,Biogasanlæg!$F$3:$G$8,2,FALSE),1)</f>
        <v>2.2751692724648424E-3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304.78144158983832</v>
      </c>
      <c r="X60">
        <f>K60*IFERROR(VLOOKUP(A60,[1]Tørstofindhold!A$2:B$24,2,FALSE),0)</f>
        <v>304.78144158983832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146352.36036688712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/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146352.36036688712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749561.48395824642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/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749561.48395824642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488405.10801459721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/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488405.10801459721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/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0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23233296.600181103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7632870.0065635424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/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34221449.144391388</v>
      </c>
      <c r="O65" s="179">
        <f t="shared" si="9"/>
        <v>-18621022.550773829</v>
      </c>
      <c r="P65" s="94">
        <f t="shared" si="4"/>
        <v>0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0</v>
      </c>
      <c r="V65" s="169">
        <f>P65*IFERROR(VLOOKUP(A65,[1]Tørstofindhold!A$2:B$24,2,FALSE),0)</f>
        <v>0</v>
      </c>
      <c r="W65">
        <f>IF(E65=År1,Q65,SUM(P65,Q65))*IFERROR(VLOOKUP(A65,[1]Tørstofindhold!A$2:B$24,2,FALSE),0)</f>
        <v>0</v>
      </c>
      <c r="X65">
        <f>K65*IFERROR(VLOOKUP(A65,[1]Tørstofindhold!A$2:B$24,2,FALSE),0)</f>
        <v>0</v>
      </c>
      <c r="Y65" s="170">
        <f t="shared" si="12"/>
        <v>0</v>
      </c>
      <c r="Z65">
        <f t="shared" si="1"/>
        <v>1</v>
      </c>
      <c r="AA65">
        <f t="shared" si="2"/>
        <v>0</v>
      </c>
    </row>
    <row r="66" spans="1:27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5720847.2834705068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5720847.2834705068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/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318920.65280775877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/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318920.65280775877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2213317.1484140675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482187.74728528934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496834.86508299207</v>
      </c>
      <c r="J68" s="390"/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1234294.536045786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1234294.536045786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12.757429290020946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12.757429290020946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1049150.355638918</v>
      </c>
      <c r="X68">
        <f>K68*IFERROR(VLOOKUP(A68,[1]Tørstofindhold!A$2:B$24,2,FALSE),0)</f>
        <v>0</v>
      </c>
      <c r="Y68" s="170">
        <f t="shared" si="12"/>
        <v>1049150.355638918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/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0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1942953.6559396773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/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-1942953.6559396773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421188.13344095187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/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421188.13344095187</v>
      </c>
      <c r="P71" s="94">
        <f t="shared" si="17"/>
        <v>421188.13344095187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1.8250629366569919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1.8250629366569919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1.8250629366569919</v>
      </c>
      <c r="V71" s="169">
        <f>P71*IFERROR(VLOOKUP(A71,[1]Tørstofindhold!A$2:B$24,2,FALSE),0)</f>
        <v>176899.01604519979</v>
      </c>
      <c r="W71">
        <f>IF(E71=År1,Q71,SUM(P71,Q71))*IFERROR(VLOOKUP(A71,[1]Tørstofindhold!A$2:B$24,2,FALSE),0)</f>
        <v>176899.01604519979</v>
      </c>
      <c r="X71">
        <f>K71*IFERROR(VLOOKUP(A71,[1]Tørstofindhold!A$2:B$24,2,FALSE),0)</f>
        <v>0</v>
      </c>
      <c r="Y71" s="170">
        <f t="shared" si="12"/>
        <v>176899.01604519979</v>
      </c>
      <c r="Z71">
        <f t="shared" si="18"/>
        <v>0</v>
      </c>
      <c r="AA71">
        <f t="shared" si="19"/>
        <v>1</v>
      </c>
    </row>
    <row r="72" spans="1:27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682243.34675238712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/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682243.34675238712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2537122.9309529141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/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2537122.9309529141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4698307.4709618408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2691129.5009707427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/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2007177.9699910982</v>
      </c>
      <c r="P74" s="94">
        <f t="shared" si="17"/>
        <v>2007177.9699910982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6.8743035423037133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6.8743035423037133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6.8743035423037133</v>
      </c>
      <c r="V74" s="169">
        <f>P74*IFERROR(VLOOKUP(A74,[1]Tørstofindhold!A$2:B$24,2,FALSE),0)</f>
        <v>622225.17069724039</v>
      </c>
      <c r="W74">
        <f>IF(E74=År1,Q74,SUM(P74,Q74))*IFERROR(VLOOKUP(A74,[1]Tørstofindhold!A$2:B$24,2,FALSE),0)</f>
        <v>622225.17069724039</v>
      </c>
      <c r="X74">
        <f>K74*IFERROR(VLOOKUP(A74,[1]Tørstofindhold!A$2:B$24,2,FALSE),0)</f>
        <v>0</v>
      </c>
      <c r="Y74" s="170">
        <f t="shared" si="12"/>
        <v>622225.17069724039</v>
      </c>
      <c r="Z74">
        <f t="shared" si="18"/>
        <v>0</v>
      </c>
      <c r="AA74">
        <f t="shared" si="19"/>
        <v>1</v>
      </c>
    </row>
    <row r="75" spans="1:27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/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588433.36945369444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-588433.36945369444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6068128.1928290678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/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4551096.1446218006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1517032.048207267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17"/>
        <v>0</v>
      </c>
      <c r="Q76" s="180">
        <f t="shared" si="10"/>
        <v>4551096.1446218006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2.3037193574461097</v>
      </c>
      <c r="T76">
        <f>IFERROR(VLOOKUP(A76,[1]Biogasudbytte!$A$2:$B$18,2,FALSE)*[1]Energiindhold!$C$10,0)*K76*IFERROR(VLOOKUP(A76,Biogasanlæg!$F$3:$G$8,2,FALSE),1)</f>
        <v>2.3037193574461097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345883.30699125683</v>
      </c>
      <c r="X76">
        <f>K76*IFERROR(VLOOKUP(A76,[1]Tørstofindhold!A$2:B$24,2,FALSE),0)</f>
        <v>345883.30699125683</v>
      </c>
      <c r="Y76" s="170">
        <f t="shared" si="12"/>
        <v>0</v>
      </c>
      <c r="Z76">
        <f t="shared" si="18"/>
        <v>0</v>
      </c>
      <c r="AA76">
        <f t="shared" si="19"/>
        <v>0</v>
      </c>
    </row>
    <row r="77" spans="1:27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706621.13097372942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609921.6300278171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/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96699.500945912325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18"/>
        <v>0</v>
      </c>
      <c r="AA77">
        <f t="shared" si="19"/>
        <v>1</v>
      </c>
    </row>
    <row r="78" spans="1:27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4171283.8969927602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3525167.7695113975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/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646116.12748136278</v>
      </c>
      <c r="P78" s="94">
        <f t="shared" si="17"/>
        <v>646116.12748136278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2.3195568976580927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2.3195568976580927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2.3195568976580927</v>
      </c>
      <c r="V78" s="169">
        <f>P78*IFERROR(VLOOKUP(A78,[1]Tørstofindhold!A$2:B$24,2,FALSE),0)</f>
        <v>193834.83824440883</v>
      </c>
      <c r="W78">
        <f>IF(E78=År1,Q78,SUM(P78,Q78))*IFERROR(VLOOKUP(A78,[1]Tørstofindhold!A$2:B$24,2,FALSE),0)</f>
        <v>193834.83824440883</v>
      </c>
      <c r="X78">
        <f>K78*IFERROR(VLOOKUP(A78,[1]Tørstofindhold!A$2:B$24,2,FALSE),0)</f>
        <v>0</v>
      </c>
      <c r="Y78" s="170">
        <f t="shared" si="12"/>
        <v>193834.83824440883</v>
      </c>
      <c r="Z78">
        <f t="shared" si="18"/>
        <v>0</v>
      </c>
      <c r="AA78">
        <f t="shared" si="19"/>
        <v>1</v>
      </c>
    </row>
    <row r="79" spans="1:27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1363412.0539430196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/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1363412.0539430196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/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87951.528514645848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/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87951.528514645848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18"/>
        <v>0</v>
      </c>
      <c r="AA81">
        <f t="shared" si="19"/>
        <v>1</v>
      </c>
    </row>
    <row r="82" spans="1:27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1037736.7550566321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/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1037736.7550566321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897193.5214277351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/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897193.5214277351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897193.5214277351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16.508360794270324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16.508360794270324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372335.31139251008</v>
      </c>
      <c r="X83">
        <f>K83*IFERROR(VLOOKUP(A83,[1]Tørstofindhold!A$2:B$24,2,FALSE),0)</f>
        <v>0</v>
      </c>
      <c r="Y83" s="170">
        <f t="shared" ref="Y83:Y150" si="23">W83-X83</f>
        <v>372335.31139251008</v>
      </c>
      <c r="Z83">
        <f t="shared" si="18"/>
        <v>0</v>
      </c>
      <c r="AA83">
        <f t="shared" si="19"/>
        <v>0</v>
      </c>
    </row>
    <row r="84" spans="1:27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/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/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2123110.9588889731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/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2123110.9588889731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736385.00175039668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/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736385.00175039668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368192.50087519834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133537.51054598394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/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234654.9903292144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235643.20056012695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/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235643.20056012695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235643.20056012695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8.2475120196044429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8.2475120196044429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2891451.8691946529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524651.55817020475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/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2366800.3110244479</v>
      </c>
      <c r="P90" s="94">
        <f t="shared" si="17"/>
        <v>2366800.3110244479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6.423590716132793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6.423590716132793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6.423590716132793</v>
      </c>
      <c r="V90" s="169">
        <f>P90*IFERROR(VLOOKUP(A90,[1]Tørstofindhold!A$2:B$24,2,FALSE),0)</f>
        <v>473360.0622048896</v>
      </c>
      <c r="W90">
        <f>IF(E90=År1,Q90,SUM(P90,Q90))*IFERROR(VLOOKUP(A90,[1]Tørstofindhold!A$2:B$24,2,FALSE),0)</f>
        <v>473360.0622048896</v>
      </c>
      <c r="X90">
        <f>K90*IFERROR(VLOOKUP(A90,[1]Tørstofindhold!A$2:B$24,2,FALSE),0)</f>
        <v>0</v>
      </c>
      <c r="Y90" s="170">
        <f t="shared" si="23"/>
        <v>473360.0622048896</v>
      </c>
      <c r="Z90">
        <f t="shared" si="18"/>
        <v>0</v>
      </c>
      <c r="AA90">
        <f t="shared" si="19"/>
        <v>1</v>
      </c>
    </row>
    <row r="91" spans="1:27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141637.01837439084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/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141637.01837439084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90522.550539010685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27571.70194124684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/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62950.848597763848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3905227.9830927276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/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1481053.1985566379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2424174.7845360897</v>
      </c>
      <c r="P93" s="94">
        <f t="shared" si="17"/>
        <v>2424174.7845360897</v>
      </c>
      <c r="Q93" s="180">
        <f t="shared" si="21"/>
        <v>1481053.1985566379</v>
      </c>
      <c r="R93">
        <f>IFERROR(VLOOKUP(A93,[1]Energiindhold!$A$2:$C$11,3,FALSE),IFERROR(VLOOKUP(A93,[1]Biogasudbytte!$A$2:$B$18,2,FALSE)*[1]Energiindhold!$C$10,0))*P93</f>
        <v>1.2096874592313542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1.9487478158431022</v>
      </c>
      <c r="T93">
        <f>IFERROR(VLOOKUP(A93,[1]Biogasudbytte!$A$2:$B$18,2,FALSE)*[1]Energiindhold!$C$10,0)*K93*IFERROR(VLOOKUP(A93,Biogasanlæg!$F$3:$G$8,2,FALSE),1)</f>
        <v>0.73906035661174796</v>
      </c>
      <c r="U93" s="170">
        <f t="shared" si="22"/>
        <v>1.2096874592313542</v>
      </c>
      <c r="V93" s="169">
        <f>P93*IFERROR(VLOOKUP(A93,[1]Tørstofindhold!A$2:B$24,2,FALSE),0)</f>
        <v>145450.48707216539</v>
      </c>
      <c r="W93">
        <f>IF(E93=År1,Q93,SUM(P93,Q93))*IFERROR(VLOOKUP(A93,[1]Tørstofindhold!A$2:B$24,2,FALSE),0)</f>
        <v>234313.67898556366</v>
      </c>
      <c r="X93">
        <f>K93*IFERROR(VLOOKUP(A93,[1]Tørstofindhold!A$2:B$24,2,FALSE),0)</f>
        <v>88863.191913398274</v>
      </c>
      <c r="Y93" s="170">
        <f t="shared" si="23"/>
        <v>145450.48707216539</v>
      </c>
      <c r="Z93">
        <f t="shared" si="18"/>
        <v>0</v>
      </c>
      <c r="AA93">
        <f t="shared" si="19"/>
        <v>1</v>
      </c>
    </row>
    <row r="94" spans="1:27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10497145.511353366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/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7872859.1335150246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2624286.3778383415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0</v>
      </c>
      <c r="P94" s="94">
        <f t="shared" si="17"/>
        <v>0</v>
      </c>
      <c r="Q94" s="180">
        <f t="shared" si="21"/>
        <v>7872859.1335150246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3.3916277147182732</v>
      </c>
      <c r="T94">
        <f>IFERROR(VLOOKUP(A94,[1]Biogasudbytte!$A$2:$B$18,2,FALSE)*[1]Energiindhold!$C$10,0)*K94*IFERROR(VLOOKUP(A94,Biogasanlæg!$F$3:$G$8,2,FALSE),1)</f>
        <v>3.3916277147182732</v>
      </c>
      <c r="U94" s="170">
        <f t="shared" si="22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393642.95667575125</v>
      </c>
      <c r="X94">
        <f>K94*IFERROR(VLOOKUP(A94,[1]Tørstofindhold!A$2:B$24,2,FALSE),0)</f>
        <v>393642.95667575125</v>
      </c>
      <c r="Y94" s="170">
        <f t="shared" si="23"/>
        <v>0</v>
      </c>
      <c r="Z94">
        <f t="shared" si="18"/>
        <v>0</v>
      </c>
      <c r="AA94">
        <f t="shared" si="19"/>
        <v>0</v>
      </c>
    </row>
    <row r="95" spans="1:27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951875.76678713446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/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951875.76678713446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76.5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/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76.5</v>
      </c>
      <c r="P96" s="94">
        <f t="shared" si="17"/>
        <v>76.5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6.8658750000000004E-5</v>
      </c>
      <c r="V96" s="169">
        <f>P96*IFERROR(VLOOKUP(A96,[1]Tørstofindhold!A$2:B$24,2,FALSE),0)</f>
        <v>11.475</v>
      </c>
      <c r="W96">
        <f>IF(E96=År1,Q96,SUM(P96,Q96))*IFERROR(VLOOKUP(A96,[1]Tørstofindhold!A$2:B$24,2,FALSE),0)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3"/>
        <v>11.475</v>
      </c>
      <c r="Z96">
        <f t="shared" si="18"/>
        <v>0</v>
      </c>
      <c r="AA96">
        <f t="shared" si="19"/>
        <v>1</v>
      </c>
    </row>
    <row r="97" spans="1:27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/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2212209.4819686995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/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2212209.4819686995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2212209.4819686995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32.062810549861823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32.062810549861823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1094121.939623686</v>
      </c>
      <c r="X98">
        <f>K98*IFERROR(VLOOKUP(A98,[1]Tørstofindhold!A$2:B$24,2,FALSE),0)</f>
        <v>0</v>
      </c>
      <c r="Y98" s="170">
        <f t="shared" ca="1" si="23"/>
        <v>1094121.939623686</v>
      </c>
      <c r="Z98">
        <f t="shared" ca="1" si="18"/>
        <v>0</v>
      </c>
      <c r="AA98">
        <f t="shared" ca="1" si="19"/>
        <v>0</v>
      </c>
    </row>
    <row r="99" spans="1:27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611213.62991940021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/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611213.62991940021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/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38948.680417674739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669028.68943321821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5403.1676876681813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/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663625.52174554998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/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143267380.83343491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/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143267380.83343491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143267380.83343491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7170282.0619360534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/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176554.0416515274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6993728.0202845261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6329623.0926010143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/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5696660.7833409132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632962.30926010106</v>
      </c>
      <c r="P105" s="94">
        <f t="shared" si="17"/>
        <v>632962.30926010106</v>
      </c>
      <c r="Q105" s="180">
        <f t="shared" si="21"/>
        <v>5696660.7833409132</v>
      </c>
      <c r="R105">
        <f>IFERROR(VLOOKUP(A105,[1]Energiindhold!$A$2:$C$11,3,FALSE),IFERROR(VLOOKUP(A105,[1]Biogasudbytte!$A$2:$B$18,2,FALSE)*[1]Energiindhold!$C$10,0))*P105</f>
        <v>0.35953909737938478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3.5953909737938501</v>
      </c>
      <c r="T105">
        <f>IFERROR(VLOOKUP(A105,[1]Biogasudbytte!$A$2:$B$18,2,FALSE)*[1]Energiindhold!$C$10,0)*K105*IFERROR(VLOOKUP(A105,Biogasanlæg!$F$3:$G$8,2,FALSE),1)</f>
        <v>3.2358518764144653</v>
      </c>
      <c r="U105" s="170">
        <f t="shared" si="22"/>
        <v>0.35953909737938483</v>
      </c>
      <c r="V105" s="169">
        <f>P105*IFERROR(VLOOKUP(A105,[1]Tørstofindhold!A$2:B$24,2,FALSE),0)</f>
        <v>27067.612540795355</v>
      </c>
      <c r="W105">
        <f>IF(E105=År1,Q105,SUM(P105,Q105))*IFERROR(VLOOKUP(A105,[1]Tørstofindhold!A$2:B$24,2,FALSE),0)</f>
        <v>270676.12540795375</v>
      </c>
      <c r="X105">
        <f>K105*IFERROR(VLOOKUP(A105,[1]Tørstofindhold!A$2:B$24,2,FALSE),0)</f>
        <v>243608.51286715837</v>
      </c>
      <c r="Y105" s="170">
        <f t="shared" si="23"/>
        <v>27067.61254079538</v>
      </c>
      <c r="Z105">
        <f t="shared" si="18"/>
        <v>0</v>
      </c>
      <c r="AA105">
        <f t="shared" si="19"/>
        <v>1</v>
      </c>
    </row>
    <row r="106" spans="1:27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575834.83314211352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/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518251.34982790216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21799.461540380005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35784.021773831337</v>
      </c>
      <c r="P106" s="94">
        <f t="shared" si="17"/>
        <v>35784.021773831337</v>
      </c>
      <c r="Q106" s="180">
        <f t="shared" si="21"/>
        <v>518251.34982790216</v>
      </c>
      <c r="R106">
        <f>IFERROR(VLOOKUP(A106,[1]Energiindhold!$A$2:$C$11,3,FALSE),IFERROR(VLOOKUP(A106,[1]Biogasudbytte!$A$2:$B$18,2,FALSE)*[1]Energiindhold!$C$10,0))*P106</f>
        <v>7.7078782900832699E-2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1.1933921904301341</v>
      </c>
      <c r="T106">
        <f>IFERROR(VLOOKUP(A106,[1]Biogasudbytte!$A$2:$B$18,2,FALSE)*[1]Energiindhold!$C$10,0)*K106*IFERROR(VLOOKUP(A106,Biogasanlæg!$F$3:$G$8,2,FALSE),1)</f>
        <v>1.1163134075293013</v>
      </c>
      <c r="U106" s="170">
        <f t="shared" si="22"/>
        <v>7.707878290083281E-2</v>
      </c>
      <c r="V106" s="169">
        <f>P106*IFERROR(VLOOKUP(A106,[1]Tørstofindhold!A$2:B$24,2,FALSE),0)</f>
        <v>10735.206532149401</v>
      </c>
      <c r="W106">
        <f>IF(E106=År1,Q106,SUM(P106,Q106))*IFERROR(VLOOKUP(A106,[1]Tørstofindhold!A$2:B$24,2,FALSE),0)</f>
        <v>166210.61148052005</v>
      </c>
      <c r="X106">
        <f>K106*IFERROR(VLOOKUP(A106,[1]Tørstofindhold!A$2:B$24,2,FALSE),0)</f>
        <v>155475.40494837065</v>
      </c>
      <c r="Y106" s="170">
        <f t="shared" si="23"/>
        <v>10735.206532149401</v>
      </c>
      <c r="Z106">
        <f t="shared" si="18"/>
        <v>0</v>
      </c>
      <c r="AA106">
        <f t="shared" si="19"/>
        <v>1</v>
      </c>
    </row>
    <row r="107" spans="1:27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4458195.0067192381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691266.04395840655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/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3766928.9627608317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/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0</v>
      </c>
      <c r="P108" s="94">
        <f t="shared" si="17"/>
        <v>0</v>
      </c>
      <c r="Q108" s="180">
        <f t="shared" si="21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2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3"/>
        <v>0</v>
      </c>
      <c r="Z108">
        <f t="shared" si="18"/>
        <v>0</v>
      </c>
      <c r="AA108">
        <f t="shared" si="19"/>
        <v>0</v>
      </c>
    </row>
    <row r="109" spans="1:27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/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6001.6248923716248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62819.759709472717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/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62819.759709472717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774671.670329666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/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774671.670329666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3"/>
        <v>0</v>
      </c>
      <c r="Z111">
        <f t="shared" si="18"/>
        <v>0</v>
      </c>
      <c r="AA111">
        <f t="shared" si="19"/>
        <v>1</v>
      </c>
    </row>
    <row r="112" spans="1:27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/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0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34445105.835390486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1025176.0247393751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/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12953227.102583883</v>
      </c>
      <c r="O113" s="179">
        <f t="shared" si="20"/>
        <v>20466702.708067227</v>
      </c>
      <c r="P113" s="94">
        <f t="shared" si="17"/>
        <v>20466702.708067227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37.656174645005194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37.656174645005194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37.656174645005194</v>
      </c>
      <c r="V113" s="169">
        <f>P113*IFERROR(VLOOKUP(A113,[1]Tørstofindhold!A$2:B$24,2,FALSE),0)</f>
        <v>5730676.7582588242</v>
      </c>
      <c r="W113">
        <f>IF(E113=År1,Q113,SUM(P113,Q113))*IFERROR(VLOOKUP(A113,[1]Tørstofindhold!A$2:B$24,2,FALSE),0)</f>
        <v>5730676.7582588242</v>
      </c>
      <c r="X113">
        <f>K113*IFERROR(VLOOKUP(A113,[1]Tørstofindhold!A$2:B$24,2,FALSE),0)</f>
        <v>0</v>
      </c>
      <c r="Y113" s="170">
        <f t="shared" si="23"/>
        <v>5730676.7582588242</v>
      </c>
      <c r="Z113">
        <f t="shared" si="18"/>
        <v>0</v>
      </c>
      <c r="AA113">
        <f t="shared" si="19"/>
        <v>1</v>
      </c>
    </row>
    <row r="114" spans="1:27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2165409.00326363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2165409.00326363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/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301754.85239496577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/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301754.85239496577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3"/>
        <v>0</v>
      </c>
      <c r="Z115">
        <f t="shared" si="18"/>
        <v>0</v>
      </c>
      <c r="AA115">
        <f t="shared" si="19"/>
        <v>1</v>
      </c>
    </row>
    <row r="116" spans="1:27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713186.46186449786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64762.968256356122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70290.546378545216</v>
      </c>
      <c r="J116" s="94"/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578132.94722959655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578132.94722959655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5.9754701808380979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5.9754701808380979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491413.00514515705</v>
      </c>
      <c r="X116">
        <f>K116*IFERROR(VLOOKUP(A116,[1]Tørstofindhold!A$2:B$24,2,FALSE),0)</f>
        <v>0</v>
      </c>
      <c r="Y116" s="170">
        <f t="shared" si="23"/>
        <v>491413.00514515705</v>
      </c>
      <c r="Z116">
        <f t="shared" si="18"/>
        <v>0</v>
      </c>
      <c r="AA116">
        <f t="shared" si="19"/>
        <v>0</v>
      </c>
    </row>
    <row r="117" spans="1:27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/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0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/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0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3"/>
        <v>0</v>
      </c>
      <c r="Z118">
        <f t="shared" si="18"/>
        <v>0</v>
      </c>
      <c r="AA118">
        <f t="shared" si="19"/>
        <v>0</v>
      </c>
    </row>
    <row r="119" spans="1:27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217306.9698136746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/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217306.9698136746</v>
      </c>
      <c r="P119" s="94">
        <f t="shared" si="17"/>
        <v>217306.9698136746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0.94161935010872788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0.94161935010872788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0.94161935010872788</v>
      </c>
      <c r="V119" s="169">
        <f>P119*IFERROR(VLOOKUP(A119,[1]Tørstofindhold!A$2:B$24,2,FALSE),0)</f>
        <v>91268.927321743322</v>
      </c>
      <c r="W119">
        <f>IF(E119=År1,Q119,SUM(P119,Q119))*IFERROR(VLOOKUP(A119,[1]Tørstofindhold!A$2:B$24,2,FALSE),0)</f>
        <v>91268.927321743322</v>
      </c>
      <c r="X119">
        <f>K119*IFERROR(VLOOKUP(A119,[1]Tørstofindhold!A$2:B$24,2,FALSE),0)</f>
        <v>0</v>
      </c>
      <c r="Y119" s="170">
        <f t="shared" si="23"/>
        <v>91268.927321743322</v>
      </c>
      <c r="Z119">
        <f t="shared" si="18"/>
        <v>0</v>
      </c>
      <c r="AA119">
        <f t="shared" si="19"/>
        <v>1</v>
      </c>
    </row>
    <row r="120" spans="1:27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386762.96576702269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/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386762.96576702269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2337126.3206842514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/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2337126.3206842514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482048.93054039421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123145.11430255328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/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358903.81623784092</v>
      </c>
      <c r="P122" s="94">
        <f t="shared" si="17"/>
        <v>358903.81623784092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1.2291953240803322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1.2291953240803322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1.2291953240803322</v>
      </c>
      <c r="V122" s="169">
        <f>P122*IFERROR(VLOOKUP(A122,[1]Tørstofindhold!A$2:B$24,2,FALSE),0)</f>
        <v>111260.18303373069</v>
      </c>
      <c r="W122">
        <f>IF(E122=År1,Q122,SUM(P122,Q122))*IFERROR(VLOOKUP(A122,[1]Tørstofindhold!A$2:B$24,2,FALSE),0)</f>
        <v>111260.18303373069</v>
      </c>
      <c r="X122">
        <f>K122*IFERROR(VLOOKUP(A122,[1]Tørstofindhold!A$2:B$24,2,FALSE),0)</f>
        <v>0</v>
      </c>
      <c r="Y122" s="170">
        <f t="shared" si="23"/>
        <v>111260.18303373069</v>
      </c>
      <c r="Z122">
        <f t="shared" si="18"/>
        <v>0</v>
      </c>
      <c r="AA122">
        <f t="shared" si="19"/>
        <v>1</v>
      </c>
    </row>
    <row r="123" spans="1:27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/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1065538.7961780522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-1065538.7961780522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3"/>
        <v>0</v>
      </c>
      <c r="Z123">
        <f t="shared" ca="1" si="18"/>
        <v>1</v>
      </c>
      <c r="AA123">
        <f t="shared" ca="1" si="19"/>
        <v>0</v>
      </c>
    </row>
    <row r="124" spans="1:27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68744.822418311582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/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61870.340176480422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6874.4822418311569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0</v>
      </c>
      <c r="P124" s="94">
        <f t="shared" si="17"/>
        <v>0</v>
      </c>
      <c r="Q124" s="180">
        <f t="shared" si="21"/>
        <v>61870.340176480422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3.1318147493932628E-2</v>
      </c>
      <c r="T124">
        <f>IFERROR(VLOOKUP(A124,[1]Biogasudbytte!$A$2:$B$18,2,FALSE)*[1]Energiindhold!$C$10,0)*K124*IFERROR(VLOOKUP(A124,Biogasanlæg!$F$3:$G$8,2,FALSE),1)</f>
        <v>3.1318147493932628E-2</v>
      </c>
      <c r="U124" s="170">
        <f t="shared" si="22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4702.1458534125122</v>
      </c>
      <c r="X124">
        <f>K124*IFERROR(VLOOKUP(A124,[1]Tørstofindhold!A$2:B$24,2,FALSE),0)</f>
        <v>4702.1458534125122</v>
      </c>
      <c r="Y124" s="170">
        <f t="shared" si="23"/>
        <v>0</v>
      </c>
      <c r="Z124">
        <f t="shared" si="18"/>
        <v>0</v>
      </c>
      <c r="AA124">
        <f t="shared" si="19"/>
        <v>0</v>
      </c>
    </row>
    <row r="125" spans="1:27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0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0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/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0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3"/>
        <v>0</v>
      </c>
      <c r="Z125">
        <f t="shared" si="18"/>
        <v>0</v>
      </c>
      <c r="AA125">
        <f t="shared" si="19"/>
        <v>0</v>
      </c>
    </row>
    <row r="126" spans="1:27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513235.88893477799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472676.57715918368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/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40559.311775594309</v>
      </c>
      <c r="P126" s="94">
        <f t="shared" si="17"/>
        <v>40559.311775594309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0.1456079292743836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0.1456079292743836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0.1456079292743836</v>
      </c>
      <c r="V126" s="169">
        <f>P126*IFERROR(VLOOKUP(A126,[1]Tørstofindhold!A$2:B$24,2,FALSE),0)</f>
        <v>12167.793532678292</v>
      </c>
      <c r="W126">
        <f>IF(E126=År1,Q126,SUM(P126,Q126))*IFERROR(VLOOKUP(A126,[1]Tørstofindhold!A$2:B$24,2,FALSE),0)</f>
        <v>12167.793532678292</v>
      </c>
      <c r="X126">
        <f>K126*IFERROR(VLOOKUP(A126,[1]Tørstofindhold!A$2:B$24,2,FALSE),0)</f>
        <v>0</v>
      </c>
      <c r="Y126" s="170">
        <f t="shared" si="23"/>
        <v>12167.793532678292</v>
      </c>
      <c r="Z126">
        <f t="shared" si="18"/>
        <v>0</v>
      </c>
      <c r="AA126">
        <f t="shared" si="19"/>
        <v>1</v>
      </c>
    </row>
    <row r="127" spans="1:27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0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/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0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3"/>
        <v>0</v>
      </c>
      <c r="Z127">
        <f t="shared" si="18"/>
        <v>0</v>
      </c>
      <c r="AA127">
        <f t="shared" si="19"/>
        <v>0</v>
      </c>
    </row>
    <row r="128" spans="1:27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/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3915.1017916004403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/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3915.1017916004403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3"/>
        <v>0</v>
      </c>
      <c r="Z129">
        <f t="shared" si="18"/>
        <v>0</v>
      </c>
      <c r="AA129">
        <f t="shared" si="19"/>
        <v>1</v>
      </c>
    </row>
    <row r="130" spans="1:27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90697.791194463221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/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90697.791194463221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1315903.5397993135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/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1315903.5397993135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1315903.5397993135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24.212625132307366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24.212625132307366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546099.96901671519</v>
      </c>
      <c r="X131">
        <f>K131*IFERROR(VLOOKUP(A131,[1]Tørstofindhold!A$2:B$24,2,FALSE),0)</f>
        <v>0</v>
      </c>
      <c r="Y131" s="170">
        <f t="shared" si="23"/>
        <v>546099.96901671519</v>
      </c>
      <c r="Z131">
        <f t="shared" si="18"/>
        <v>0</v>
      </c>
      <c r="AA131">
        <f t="shared" si="19"/>
        <v>0</v>
      </c>
    </row>
    <row r="132" spans="1:27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/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/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0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/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0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3"/>
        <v>0</v>
      </c>
      <c r="Z134">
        <f t="shared" si="29"/>
        <v>0</v>
      </c>
      <c r="AA134">
        <f t="shared" si="30"/>
        <v>0</v>
      </c>
    </row>
    <row r="135" spans="1:27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649292.34846099082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/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649292.34846099082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324646.17423049541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17935.514963231879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/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306710.65926726355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3"/>
        <v>0</v>
      </c>
      <c r="Z136">
        <f t="shared" si="29"/>
        <v>0</v>
      </c>
      <c r="AA136">
        <f t="shared" si="30"/>
        <v>1</v>
      </c>
    </row>
    <row r="137" spans="1:27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207773.55150751706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/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207773.55150751706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207773.55150751706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7.2720743027630963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7.2720743027630963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2749867.8949207771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70466.311926672526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/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2679401.5829941044</v>
      </c>
      <c r="P138" s="94">
        <f t="shared" si="28"/>
        <v>2679401.5829941044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7.2720030723093192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7.2720030723093192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7.2720030723093192</v>
      </c>
      <c r="V138" s="169">
        <f>P138*IFERROR(VLOOKUP(A138,[1]Tørstofindhold!A$2:B$24,2,FALSE),0)</f>
        <v>535880.31659882085</v>
      </c>
      <c r="W138">
        <f>IF(E138=År1,Q138,SUM(P138,Q138))*IFERROR(VLOOKUP(A138,[1]Tørstofindhold!A$2:B$24,2,FALSE),0)</f>
        <v>535880.31659882085</v>
      </c>
      <c r="X138">
        <f>K138*IFERROR(VLOOKUP(A138,[1]Tørstofindhold!A$2:B$24,2,FALSE),0)</f>
        <v>0</v>
      </c>
      <c r="Y138" s="170">
        <f t="shared" si="23"/>
        <v>535880.31659882085</v>
      </c>
      <c r="Z138">
        <f t="shared" si="29"/>
        <v>0</v>
      </c>
      <c r="AA138">
        <f t="shared" si="30"/>
        <v>1</v>
      </c>
    </row>
    <row r="139" spans="1:27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6885.6435501498472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/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6885.6435501498472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4618.1462568237339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4432.6987357664457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/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185.44752105728821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3"/>
        <v>0</v>
      </c>
      <c r="Z140">
        <f t="shared" si="29"/>
        <v>0</v>
      </c>
      <c r="AA140">
        <f t="shared" si="30"/>
        <v>1</v>
      </c>
    </row>
    <row r="141" spans="1:27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4002333.5486616795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/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1517880.3720548805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2484453.176606799</v>
      </c>
      <c r="P141" s="94">
        <f t="shared" si="28"/>
        <v>2484453.176606799</v>
      </c>
      <c r="Q141" s="180">
        <f t="shared" si="21"/>
        <v>1517880.3720548805</v>
      </c>
      <c r="R141">
        <f>IFERROR(VLOOKUP(A141,[1]Energiindhold!$A$2:$C$11,3,FALSE),IFERROR(VLOOKUP(A141,[1]Biogasudbytte!$A$2:$B$18,2,FALSE)*[1]Energiindhold!$C$10,0))*P141</f>
        <v>1.2397669796585589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1.9972044641176647</v>
      </c>
      <c r="T141">
        <f>IFERROR(VLOOKUP(A141,[1]Biogasudbytte!$A$2:$B$18,2,FALSE)*[1]Energiindhold!$C$10,0)*K141*IFERROR(VLOOKUP(A141,Biogasanlæg!$F$3:$G$8,2,FALSE),1)</f>
        <v>0.75743748445910597</v>
      </c>
      <c r="U141" s="170">
        <f t="shared" si="22"/>
        <v>1.2397669796585586</v>
      </c>
      <c r="V141" s="169">
        <f>P141*IFERROR(VLOOKUP(A141,[1]Tørstofindhold!A$2:B$24,2,FALSE),0)</f>
        <v>149067.19059640795</v>
      </c>
      <c r="W141">
        <f>IF(E141=År1,Q141,SUM(P141,Q141))*IFERROR(VLOOKUP(A141,[1]Tørstofindhold!A$2:B$24,2,FALSE),0)</f>
        <v>240140.01291970076</v>
      </c>
      <c r="X141">
        <f>K141*IFERROR(VLOOKUP(A141,[1]Tørstofindhold!A$2:B$24,2,FALSE),0)</f>
        <v>91072.822323292829</v>
      </c>
      <c r="Y141" s="170">
        <f t="shared" si="23"/>
        <v>149067.19059640792</v>
      </c>
      <c r="Z141">
        <f t="shared" si="29"/>
        <v>0</v>
      </c>
      <c r="AA141">
        <f t="shared" si="30"/>
        <v>1</v>
      </c>
    </row>
    <row r="142" spans="1:27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/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2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48971.913359549246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/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48971.913359549246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76.5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/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76.5</v>
      </c>
      <c r="P144" s="94">
        <f t="shared" si="28"/>
        <v>76.5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6.8658750000000004E-5</v>
      </c>
      <c r="V144" s="169">
        <f>P144*IFERROR(VLOOKUP(A144,[1]Tørstofindhold!A$2:B$24,2,FALSE),0)</f>
        <v>11.475</v>
      </c>
      <c r="W144">
        <f>IF(E144=År1,Q144,SUM(P144,Q144))*IFERROR(VLOOKUP(A144,[1]Tørstofindhold!A$2:B$24,2,FALSE),0)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23"/>
        <v>11.475</v>
      </c>
      <c r="Z144">
        <f t="shared" si="29"/>
        <v>0</v>
      </c>
      <c r="AA144">
        <f t="shared" si="30"/>
        <v>1</v>
      </c>
    </row>
    <row r="145" spans="1:27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/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2149322.1793498904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/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2149322.1793498904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2149322.1793498904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31.151349096372208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31.151349096372208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1063018.9278701332</v>
      </c>
      <c r="X146">
        <f>K146*IFERROR(VLOOKUP(A146,[1]Tørstofindhold!A$2:B$24,2,FALSE),0)</f>
        <v>0</v>
      </c>
      <c r="Y146" s="170">
        <f t="shared" ca="1" si="23"/>
        <v>1063018.9278701332</v>
      </c>
      <c r="Z146">
        <f t="shared" ca="1" si="29"/>
        <v>0</v>
      </c>
      <c r="AA146">
        <f t="shared" ca="1" si="30"/>
        <v>0</v>
      </c>
    </row>
    <row r="147" spans="1:27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637679.95429535187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/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637679.95429535187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/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18450.007031483605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/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x14ac:dyDescent="0.25">
      <c r="A150" s="171" t="s">
        <v>102</v>
      </c>
      <c r="B150" s="171" t="s">
        <v>229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/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-170507.33327986751</v>
      </c>
      <c r="P150" s="94">
        <f t="shared" ca="1" si="28"/>
        <v>0</v>
      </c>
      <c r="Q150" s="180">
        <f t="shared" ca="1" si="21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2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/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/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x14ac:dyDescent="0.25">
      <c r="A153" s="171" t="s">
        <v>207</v>
      </c>
      <c r="B153" s="171" t="s">
        <v>229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/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x14ac:dyDescent="0.25">
      <c r="A154" t="s">
        <v>101</v>
      </c>
      <c r="B154" s="171" t="s">
        <v>221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/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153410.57659836096</v>
      </c>
      <c r="P154" s="94">
        <f t="shared" si="28"/>
        <v>153410.57659836096</v>
      </c>
      <c r="Q154" s="180">
        <f t="shared" si="35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36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x14ac:dyDescent="0.25">
      <c r="A155" t="s">
        <v>203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/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x14ac:dyDescent="0.25">
      <c r="A156" t="s">
        <v>137</v>
      </c>
      <c r="B156" s="171" t="s">
        <v>221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/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0</v>
      </c>
      <c r="P156" s="94">
        <f t="shared" si="28"/>
        <v>0</v>
      </c>
      <c r="Q156" s="180">
        <f t="shared" si="35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36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37"/>
        <v>0</v>
      </c>
      <c r="Z156">
        <f t="shared" si="29"/>
        <v>0</v>
      </c>
      <c r="AA156">
        <f t="shared" si="30"/>
        <v>0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/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15969.006082579654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/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/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15780.226177538038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/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-28548.400000000001</v>
      </c>
      <c r="P160" s="94">
        <f t="shared" si="28"/>
        <v>0</v>
      </c>
      <c r="Q160" s="180">
        <f t="shared" si="35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36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x14ac:dyDescent="0.25">
      <c r="A161" s="171" t="s">
        <v>51</v>
      </c>
      <c r="B161" s="171" t="s">
        <v>223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/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636502.29333281773</v>
      </c>
      <c r="P161" s="94">
        <f t="shared" si="28"/>
        <v>636502.29333281773</v>
      </c>
      <c r="Q161" s="180">
        <f t="shared" si="35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36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x14ac:dyDescent="0.25">
      <c r="A162" s="171" t="s">
        <v>202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/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/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95299.46904386401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37"/>
        <v>0</v>
      </c>
      <c r="Z163">
        <f t="shared" si="29"/>
        <v>0</v>
      </c>
      <c r="AA163">
        <f t="shared" si="30"/>
        <v>1</v>
      </c>
    </row>
    <row r="164" spans="1:27" x14ac:dyDescent="0.25">
      <c r="A164" s="171" t="s">
        <v>67</v>
      </c>
      <c r="B164" s="171" t="s">
        <v>226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/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0</v>
      </c>
      <c r="P164" s="94">
        <f t="shared" si="28"/>
        <v>0</v>
      </c>
      <c r="Q164" s="180">
        <f t="shared" si="35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36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37"/>
        <v>622757.24997763557</v>
      </c>
      <c r="Z164">
        <f t="shared" si="29"/>
        <v>0</v>
      </c>
      <c r="AA164">
        <f t="shared" si="30"/>
        <v>0</v>
      </c>
    </row>
    <row r="165" spans="1:27" x14ac:dyDescent="0.25">
      <c r="A165" s="171" t="s">
        <v>162</v>
      </c>
      <c r="B165" s="171" t="s">
        <v>229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/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0</v>
      </c>
      <c r="P165" s="94">
        <f t="shared" si="28"/>
        <v>0</v>
      </c>
      <c r="Q165" s="180">
        <f t="shared" si="35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36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37"/>
        <v>135693.18364487163</v>
      </c>
      <c r="Z165">
        <f t="shared" si="29"/>
        <v>0</v>
      </c>
      <c r="AA165">
        <f t="shared" si="30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/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x14ac:dyDescent="0.25">
      <c r="A167" s="171" t="s">
        <v>103</v>
      </c>
      <c r="B167" s="171" t="s">
        <v>229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/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-79270.498677373223</v>
      </c>
      <c r="P167" s="94">
        <f t="shared" si="28"/>
        <v>0</v>
      </c>
      <c r="Q167" s="180">
        <f t="shared" si="35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36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/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/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116539.79424410909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x14ac:dyDescent="0.25">
      <c r="A170" s="171" t="s">
        <v>48</v>
      </c>
      <c r="B170" s="171" t="s">
        <v>226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/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1546086.3708265433</v>
      </c>
      <c r="P170" s="94">
        <f t="shared" si="28"/>
        <v>1546086.3708265433</v>
      </c>
      <c r="Q170" s="180">
        <f t="shared" si="35"/>
        <v>942.6064741945944</v>
      </c>
      <c r="R170">
        <f>IFERROR(VLOOKUP(A170,[1]Energiindhold!$A$2:$C$11,3,FALSE),IFERROR(VLOOKUP(A170,[1]Biogasudbytte!$A$2:$B$18,2,FALSE)*[1]Energiindhold!$C$10,0))*P170</f>
        <v>5.2951293679889959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36"/>
        <v>0</v>
      </c>
      <c r="V170" s="169">
        <f>P170*IFERROR(VLOOKUP(A170,[1]Tørstofindhold!A$2:B$24,2,FALSE),0)</f>
        <v>479286.77495622844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/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x14ac:dyDescent="0.25">
      <c r="A172" s="171" t="s">
        <v>136</v>
      </c>
      <c r="B172" s="171" t="s">
        <v>221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/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0</v>
      </c>
      <c r="P172" s="94">
        <f t="shared" si="28"/>
        <v>0</v>
      </c>
      <c r="Q172" s="180">
        <f t="shared" si="35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36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37"/>
        <v>0</v>
      </c>
      <c r="Z172">
        <f t="shared" si="29"/>
        <v>0</v>
      </c>
      <c r="AA172">
        <f t="shared" si="30"/>
        <v>0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/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x14ac:dyDescent="0.25">
      <c r="A174" t="s">
        <v>53</v>
      </c>
      <c r="B174" s="171" t="s">
        <v>223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/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-344258.58126598754</v>
      </c>
      <c r="P174" s="94">
        <f t="shared" si="28"/>
        <v>0</v>
      </c>
      <c r="Q174" s="180">
        <f t="shared" si="35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36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/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222833.98833453824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x14ac:dyDescent="0.25">
      <c r="A176" s="171" t="s">
        <v>106</v>
      </c>
      <c r="B176" s="171" t="s">
        <v>225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/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/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7577.0634215631153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/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x14ac:dyDescent="0.25">
      <c r="A179" s="171" t="s">
        <v>95</v>
      </c>
      <c r="B179" s="171" t="s">
        <v>224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/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x14ac:dyDescent="0.25">
      <c r="A180" s="171" t="s">
        <v>305</v>
      </c>
      <c r="B180" s="171" t="s">
        <v>311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/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x14ac:dyDescent="0.25">
      <c r="A181" s="171" t="s">
        <v>306</v>
      </c>
      <c r="B181" s="171" t="s">
        <v>311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/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/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/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x14ac:dyDescent="0.25">
      <c r="A184" t="s">
        <v>237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/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x14ac:dyDescent="0.25">
      <c r="A185" t="s">
        <v>230</v>
      </c>
      <c r="B185" s="171" t="s">
        <v>230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/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x14ac:dyDescent="0.25">
      <c r="A186" t="s">
        <v>52</v>
      </c>
      <c r="B186" s="171" t="s">
        <v>223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/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2105567.5565972263</v>
      </c>
      <c r="P186" s="94">
        <f t="shared" si="28"/>
        <v>1637775.5474174484</v>
      </c>
      <c r="Q186" s="180">
        <f t="shared" si="35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36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/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/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x14ac:dyDescent="0.25">
      <c r="A189" s="171" t="s">
        <v>140</v>
      </c>
      <c r="B189" s="171" t="s">
        <v>229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/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1978309.9489030582</v>
      </c>
      <c r="P189" s="94">
        <f t="shared" si="28"/>
        <v>1978309.9489030582</v>
      </c>
      <c r="Q189" s="180">
        <f t="shared" si="35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36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x14ac:dyDescent="0.25">
      <c r="A190" s="171" t="s">
        <v>135</v>
      </c>
      <c r="B190" s="171" t="s">
        <v>221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/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0</v>
      </c>
      <c r="P190" s="94">
        <f t="shared" si="28"/>
        <v>0</v>
      </c>
      <c r="Q190" s="180">
        <f t="shared" si="35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36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37"/>
        <v>0</v>
      </c>
      <c r="Z190">
        <f t="shared" si="29"/>
        <v>0</v>
      </c>
      <c r="AA190">
        <f t="shared" si="30"/>
        <v>0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/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206750.71206041813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225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/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/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x14ac:dyDescent="0.25">
      <c r="A194" s="171" t="s">
        <v>119</v>
      </c>
      <c r="B194" s="171" t="s">
        <v>224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/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/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14322.21600404952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/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14322.21600404952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165990.97004737973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5130.0675922754808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/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160860.90245510425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/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71864818.658698291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/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71864818.658698291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71864818.658698291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4144858.0624243855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/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3460535.4285508459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684322.63387353951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2132472.7123802551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/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1599354.5342851914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533118.17809506366</v>
      </c>
      <c r="P201" s="94">
        <f t="shared" si="42"/>
        <v>533118.17809506366</v>
      </c>
      <c r="Q201" s="180">
        <f t="shared" si="35"/>
        <v>1599354.5342851914</v>
      </c>
      <c r="R201">
        <f>IFERROR(VLOOKUP(A201,[1]Energiindhold!$A$2:$C$11,3,FALSE),IFERROR(VLOOKUP(A201,[1]Biogasudbytte!$A$2:$B$18,2,FALSE)*[1]Energiindhold!$C$10,0))*P201</f>
        <v>0.30282502724830679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1.2113001089932274</v>
      </c>
      <c r="T201">
        <f>IFERROR(VLOOKUP(A201,[1]Biogasudbytte!$A$2:$B$18,2,FALSE)*[1]Energiindhold!$C$10,0)*K201*IFERROR(VLOOKUP(A201,Biogasanlæg!$F$3:$G$8,2,FALSE),1)</f>
        <v>0.90847508174492064</v>
      </c>
      <c r="U201" s="170">
        <f t="shared" si="36"/>
        <v>0.30282502724830673</v>
      </c>
      <c r="V201" s="169">
        <f>P201*IFERROR(VLOOKUP(A201,[1]Tørstofindhold!A$2:B$24,2,FALSE),0)</f>
        <v>22797.93926434591</v>
      </c>
      <c r="W201">
        <f>IF(E201=År1,Q201,SUM(P201,Q201))*IFERROR(VLOOKUP(A201,[1]Tørstofindhold!A$2:B$24,2,FALSE),0)</f>
        <v>91191.757057383671</v>
      </c>
      <c r="X201">
        <f>K201*IFERROR(VLOOKUP(A201,[1]Tørstofindhold!A$2:B$24,2,FALSE),0)</f>
        <v>68393.817793037757</v>
      </c>
      <c r="Y201" s="170">
        <f t="shared" si="37"/>
        <v>22797.939264345914</v>
      </c>
      <c r="Z201">
        <f t="shared" si="43"/>
        <v>0</v>
      </c>
      <c r="AA201">
        <f t="shared" si="44"/>
        <v>1</v>
      </c>
    </row>
    <row r="202" spans="1:27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237805.24041385058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/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178353.93031038792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22506.567396310857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36944.742707151803</v>
      </c>
      <c r="P202" s="94">
        <f t="shared" si="42"/>
        <v>36944.742707151803</v>
      </c>
      <c r="Q202" s="180">
        <f t="shared" si="35"/>
        <v>178353.93031038792</v>
      </c>
      <c r="R202">
        <f>IFERROR(VLOOKUP(A202,[1]Energiindhold!$A$2:$C$11,3,FALSE),IFERROR(VLOOKUP(A202,[1]Biogasudbytte!$A$2:$B$18,2,FALSE)*[1]Energiindhold!$C$10,0))*P202</f>
        <v>7.9578975791204987E-2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0.46375334167978055</v>
      </c>
      <c r="T202">
        <f>IFERROR(VLOOKUP(A202,[1]Biogasudbytte!$A$2:$B$18,2,FALSE)*[1]Energiindhold!$C$10,0)*K202*IFERROR(VLOOKUP(A202,Biogasanlæg!$F$3:$G$8,2,FALSE),1)</f>
        <v>0.38417436588857556</v>
      </c>
      <c r="U202" s="170">
        <f t="shared" si="36"/>
        <v>7.9578975791204987E-2</v>
      </c>
      <c r="V202" s="169">
        <f>P202*IFERROR(VLOOKUP(A202,[1]Tørstofindhold!A$2:B$24,2,FALSE),0)</f>
        <v>11083.42281214554</v>
      </c>
      <c r="W202">
        <f>IF(E202=År1,Q202,SUM(P202,Q202))*IFERROR(VLOOKUP(A202,[1]Tørstofindhold!A$2:B$24,2,FALSE),0)</f>
        <v>64589.601905261916</v>
      </c>
      <c r="X202">
        <f>K202*IFERROR(VLOOKUP(A202,[1]Tørstofindhold!A$2:B$24,2,FALSE),0)</f>
        <v>53506.179093116378</v>
      </c>
      <c r="Y202" s="170">
        <f t="shared" si="37"/>
        <v>11083.422812145538</v>
      </c>
      <c r="Z202">
        <f t="shared" si="43"/>
        <v>0</v>
      </c>
      <c r="AA202">
        <f t="shared" si="44"/>
        <v>1</v>
      </c>
    </row>
    <row r="203" spans="1:27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1501981.8809451428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232890.00848399676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/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1269091.872461146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37"/>
        <v>0</v>
      </c>
      <c r="Z203">
        <f t="shared" si="43"/>
        <v>0</v>
      </c>
      <c r="AA203">
        <f t="shared" si="44"/>
        <v>1</v>
      </c>
    </row>
    <row r="204" spans="1:27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541.37976495307191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/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406.03482371480391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135.34494123826798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0</v>
      </c>
      <c r="P204" s="94">
        <f t="shared" si="42"/>
        <v>0</v>
      </c>
      <c r="Q204" s="180">
        <f t="shared" si="35"/>
        <v>406.03482371480391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1.9095411724483514E-4</v>
      </c>
      <c r="T204">
        <f>IFERROR(VLOOKUP(A204,[1]Biogasudbytte!$A$2:$B$18,2,FALSE)*[1]Energiindhold!$C$10,0)*K204*IFERROR(VLOOKUP(A204,Biogasanlæg!$F$3:$G$8,2,FALSE),1)</f>
        <v>1.9095411724483514E-4</v>
      </c>
      <c r="U204" s="170">
        <f t="shared" si="36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25.580193894032647</v>
      </c>
      <c r="X204">
        <f>K204*IFERROR(VLOOKUP(A204,[1]Tørstofindhold!A$2:B$24,2,FALSE),0)</f>
        <v>25.580193894032647</v>
      </c>
      <c r="Y204" s="170">
        <f t="shared" si="37"/>
        <v>0</v>
      </c>
      <c r="Z204">
        <f t="shared" si="43"/>
        <v>0</v>
      </c>
      <c r="AA204">
        <f t="shared" si="44"/>
        <v>0</v>
      </c>
    </row>
    <row r="205" spans="1:27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12283.299585125167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/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12283.299585125167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239925.67708956901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/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239925.67708956901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150209.37360134395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/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150209.37360134395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37"/>
        <v>0</v>
      </c>
      <c r="Z207">
        <f t="shared" si="43"/>
        <v>0</v>
      </c>
      <c r="AA207">
        <f t="shared" si="44"/>
        <v>1</v>
      </c>
    </row>
    <row r="208" spans="1:27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/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0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0</v>
      </c>
      <c r="X208">
        <f>K208*IFERROR(VLOOKUP(A208,[1]Tørstofindhold!A$2:B$24,2,FALSE),0)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6569596.6515662586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973359.07469549077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/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4363988.6497844672</v>
      </c>
      <c r="O209" s="179">
        <f t="shared" si="34"/>
        <v>1232248.9270863002</v>
      </c>
      <c r="P209" s="94">
        <f t="shared" si="42"/>
        <v>0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0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0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0</v>
      </c>
      <c r="V209" s="169">
        <f>P209*IFERROR(VLOOKUP(A209,[1]Tørstofindhold!A$2:B$24,2,FALSE),0)</f>
        <v>0</v>
      </c>
      <c r="W209">
        <f>IF(E209=År1,Q209,SUM(P209,Q209))*IFERROR(VLOOKUP(A209,[1]Tørstofindhold!A$2:B$24,2,FALSE),0)</f>
        <v>0</v>
      </c>
      <c r="X209">
        <f>K209*IFERROR(VLOOKUP(A209,[1]Tørstofindhold!A$2:B$24,2,FALSE),0)</f>
        <v>0</v>
      </c>
      <c r="Y209" s="170">
        <f t="shared" si="37"/>
        <v>0</v>
      </c>
      <c r="Z209">
        <f t="shared" si="43"/>
        <v>1</v>
      </c>
      <c r="AA209">
        <f t="shared" si="44"/>
        <v>0</v>
      </c>
    </row>
    <row r="210" spans="1:27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729534.05645906925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729534.05645906925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/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98055.31431785204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/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98055.31431785204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37"/>
        <v>0</v>
      </c>
      <c r="Z211">
        <f t="shared" si="43"/>
        <v>0</v>
      </c>
      <c r="AA211">
        <f t="shared" si="44"/>
        <v>1</v>
      </c>
    </row>
    <row r="212" spans="1:27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675411.68414554815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61489.560168524164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70710.376470197152</v>
      </c>
      <c r="J212" s="94"/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543211.74750682688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543211.74750682688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5.6145314233733172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5.6145314233733172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461729.98538080283</v>
      </c>
      <c r="X212">
        <f>K212*IFERROR(VLOOKUP(A212,[1]Tørstofindhold!A$2:B$24,2,FALSE),0)</f>
        <v>0</v>
      </c>
      <c r="Y212" s="170">
        <f t="shared" si="37"/>
        <v>461729.98538080283</v>
      </c>
      <c r="Z212">
        <f t="shared" si="43"/>
        <v>0</v>
      </c>
      <c r="AA212">
        <f t="shared" si="44"/>
        <v>0</v>
      </c>
    </row>
    <row r="213" spans="1:27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/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0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247769.39356957743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/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-247769.39356957743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191070.85109932383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/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191070.85109932383</v>
      </c>
      <c r="P215" s="94">
        <f t="shared" si="42"/>
        <v>191070.85109932383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0.82793483702401316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0.82793483702401316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0.82793483702401316</v>
      </c>
      <c r="V215" s="169">
        <f>P215*IFERROR(VLOOKUP(A215,[1]Tørstofindhold!A$2:B$24,2,FALSE),0)</f>
        <v>80249.757461715999</v>
      </c>
      <c r="W215">
        <f>IF(E215=År1,Q215,SUM(P215,Q215))*IFERROR(VLOOKUP(A215,[1]Tørstofindhold!A$2:B$24,2,FALSE),0)</f>
        <v>80249.757461715999</v>
      </c>
      <c r="X215">
        <f>K215*IFERROR(VLOOKUP(A215,[1]Tørstofindhold!A$2:B$24,2,FALSE),0)</f>
        <v>0</v>
      </c>
      <c r="Y215" s="170">
        <f t="shared" si="37"/>
        <v>80249.757461715999</v>
      </c>
      <c r="Z215">
        <f t="shared" si="43"/>
        <v>0</v>
      </c>
      <c r="AA215">
        <f t="shared" si="44"/>
        <v>1</v>
      </c>
    </row>
    <row r="216" spans="1:27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205340.3536719332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/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205340.3536719332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757571.37538443948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/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757571.37538443948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1426697.7169863379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343178.29580461275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/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1083519.4211817251</v>
      </c>
      <c r="P218" s="94">
        <f t="shared" si="42"/>
        <v>1083519.4211817251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3.7109023248284436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3.7109023248284436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3.7109023248284436</v>
      </c>
      <c r="V218" s="169">
        <f>P218*IFERROR(VLOOKUP(A218,[1]Tørstofindhold!A$2:B$24,2,FALSE),0)</f>
        <v>335891.02056633477</v>
      </c>
      <c r="W218">
        <f>IF(E218=År1,Q218,SUM(P218,Q218))*IFERROR(VLOOKUP(A218,[1]Tørstofindhold!A$2:B$24,2,FALSE),0)</f>
        <v>335891.02056633477</v>
      </c>
      <c r="X218">
        <f>K218*IFERROR(VLOOKUP(A218,[1]Tørstofindhold!A$2:B$24,2,FALSE),0)</f>
        <v>0</v>
      </c>
      <c r="Y218" s="170">
        <f t="shared" si="48"/>
        <v>335891.02056633477</v>
      </c>
      <c r="Z218">
        <f t="shared" si="43"/>
        <v>0</v>
      </c>
      <c r="AA218">
        <f t="shared" si="44"/>
        <v>1</v>
      </c>
    </row>
    <row r="219" spans="1:27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/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341428.57128038822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-341428.57128038822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431286.20272258902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/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323464.65204194176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107821.55068064725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0</v>
      </c>
      <c r="P220" s="94">
        <f t="shared" si="42"/>
        <v>0</v>
      </c>
      <c r="Q220" s="180">
        <f t="shared" si="46"/>
        <v>323464.65204194176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0.16373457221711052</v>
      </c>
      <c r="T220">
        <f>IFERROR(VLOOKUP(A220,[1]Biogasudbytte!$A$2:$B$18,2,FALSE)*[1]Energiindhold!$C$10,0)*K220*IFERROR(VLOOKUP(A220,Biogasanlæg!$F$3:$G$8,2,FALSE),1)</f>
        <v>0.16373457221711052</v>
      </c>
      <c r="U220" s="170">
        <f t="shared" si="4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24583.313555187575</v>
      </c>
      <c r="X220">
        <f>K220*IFERROR(VLOOKUP(A220,[1]Tørstofindhold!A$2:B$24,2,FALSE),0)</f>
        <v>24583.313555187575</v>
      </c>
      <c r="Y220" s="170">
        <f t="shared" si="48"/>
        <v>0</v>
      </c>
      <c r="Z220">
        <f t="shared" si="43"/>
        <v>0</v>
      </c>
      <c r="AA220">
        <f t="shared" si="44"/>
        <v>0</v>
      </c>
    </row>
    <row r="221" spans="1:27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50222.397196773512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77778.444140950829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/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-27556.046944177317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48"/>
        <v>0</v>
      </c>
      <c r="Z221">
        <f t="shared" si="43"/>
        <v>0</v>
      </c>
      <c r="AA221">
        <f t="shared" si="44"/>
        <v>1</v>
      </c>
    </row>
    <row r="222" spans="1:27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1224051.0749297491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449536.54854955326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/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774514.52638019586</v>
      </c>
      <c r="P222" s="94">
        <f t="shared" si="42"/>
        <v>774514.52638019586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2.7805071497049036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2.7805071497049036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2.7805071497049036</v>
      </c>
      <c r="V222" s="169">
        <f>P222*IFERROR(VLOOKUP(A222,[1]Tørstofindhold!A$2:B$24,2,FALSE),0)</f>
        <v>232354.35791405875</v>
      </c>
      <c r="W222">
        <f>IF(E222=År1,Q222,SUM(P222,Q222))*IFERROR(VLOOKUP(A222,[1]Tørstofindhold!A$2:B$24,2,FALSE),0)</f>
        <v>232354.35791405875</v>
      </c>
      <c r="X222">
        <f>K222*IFERROR(VLOOKUP(A222,[1]Tørstofindhold!A$2:B$24,2,FALSE),0)</f>
        <v>0</v>
      </c>
      <c r="Y222" s="170">
        <f t="shared" si="48"/>
        <v>232354.35791405875</v>
      </c>
      <c r="Z222">
        <f t="shared" si="43"/>
        <v>0</v>
      </c>
      <c r="AA222">
        <f t="shared" si="44"/>
        <v>1</v>
      </c>
    </row>
    <row r="223" spans="1:27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96903.161700864599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/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96903.161700864599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/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6251.0678007025454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/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6251.0678007025454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48"/>
        <v>0</v>
      </c>
      <c r="Z225">
        <f t="shared" si="43"/>
        <v>0</v>
      </c>
      <c r="AA225">
        <f t="shared" si="44"/>
        <v>1</v>
      </c>
    </row>
    <row r="226" spans="1:27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311483.30240974069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/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311483.30240974069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272470.87062579964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/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272470.87062579964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272470.87062579964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5.0134640195147124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5.0134640195147124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113075.41130970686</v>
      </c>
      <c r="X227">
        <f>K227*IFERROR(VLOOKUP(A227,[1]Tørstofindhold!A$2:B$24,2,FALSE),0)</f>
        <v>0</v>
      </c>
      <c r="Y227" s="170">
        <f t="shared" si="48"/>
        <v>113075.41130970686</v>
      </c>
      <c r="Z227">
        <f t="shared" si="43"/>
        <v>0</v>
      </c>
      <c r="AA227">
        <f t="shared" si="44"/>
        <v>0</v>
      </c>
    </row>
    <row r="228" spans="1:27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/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/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150898.00912578267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/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150898.00912578267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225804.31636026004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/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225804.31636026004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112902.15818013002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17028.97436880333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/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95873.183811326686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72257.381235283217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/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72257.381235283217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72257.381235283217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2.5290083432349122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2.5290083432349122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898519.08431343141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66904.631515926056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/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831614.45279750531</v>
      </c>
      <c r="P234" s="94">
        <f t="shared" si="42"/>
        <v>831614.45279750531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2.2570348894705412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2.2570348894705412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2.2570348894705412</v>
      </c>
      <c r="V234" s="169">
        <f>P234*IFERROR(VLOOKUP(A234,[1]Tørstofindhold!A$2:B$24,2,FALSE),0)</f>
        <v>166322.89055950107</v>
      </c>
      <c r="W234">
        <f>IF(E234=År1,Q234,SUM(P234,Q234))*IFERROR(VLOOKUP(A234,[1]Tørstofindhold!A$2:B$24,2,FALSE),0)</f>
        <v>166322.89055950107</v>
      </c>
      <c r="X234">
        <f>K234*IFERROR(VLOOKUP(A234,[1]Tørstofindhold!A$2:B$24,2,FALSE),0)</f>
        <v>0</v>
      </c>
      <c r="Y234" s="170">
        <f t="shared" si="48"/>
        <v>166322.89055950107</v>
      </c>
      <c r="Z234">
        <f t="shared" si="43"/>
        <v>0</v>
      </c>
      <c r="AA234">
        <f t="shared" si="44"/>
        <v>1</v>
      </c>
    </row>
    <row r="235" spans="1:27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16250.349472544192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/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16250.349472544192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12700.787430000357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3515.9993902993874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/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9184.7880397009685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3339172.5135239428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/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1266377.3160230415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2072795.1975009013</v>
      </c>
      <c r="P237" s="94">
        <f t="shared" si="42"/>
        <v>2072795.1975009013</v>
      </c>
      <c r="Q237" s="180">
        <f t="shared" si="46"/>
        <v>1266377.3160230415</v>
      </c>
      <c r="R237">
        <f>IFERROR(VLOOKUP(A237,[1]Energiindhold!$A$2:$C$11,3,FALSE),IFERROR(VLOOKUP(A237,[1]Biogasudbytte!$A$2:$B$18,2,FALSE)*[1]Energiindhold!$C$10,0))*P237</f>
        <v>1.0343455315049248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1.6662804759735828</v>
      </c>
      <c r="T237">
        <f>IFERROR(VLOOKUP(A237,[1]Biogasudbytte!$A$2:$B$18,2,FALSE)*[1]Energiindhold!$C$10,0)*K237*IFERROR(VLOOKUP(A237,Biogasanlæg!$F$3:$G$8,2,FALSE),1)</f>
        <v>0.63193494446865806</v>
      </c>
      <c r="U237" s="170">
        <f t="shared" si="47"/>
        <v>1.0343455315049246</v>
      </c>
      <c r="V237" s="169">
        <f>P237*IFERROR(VLOOKUP(A237,[1]Tørstofindhold!A$2:B$24,2,FALSE),0)</f>
        <v>124367.71185005407</v>
      </c>
      <c r="W237">
        <f>IF(E237=År1,Q237,SUM(P237,Q237))*IFERROR(VLOOKUP(A237,[1]Tørstofindhold!A$2:B$24,2,FALSE),0)</f>
        <v>200350.35081143657</v>
      </c>
      <c r="X237">
        <f>K237*IFERROR(VLOOKUP(A237,[1]Tørstofindhold!A$2:B$24,2,FALSE),0)</f>
        <v>75982.638961382487</v>
      </c>
      <c r="Y237" s="170">
        <f t="shared" si="48"/>
        <v>124367.71185005408</v>
      </c>
      <c r="Z237">
        <f t="shared" si="43"/>
        <v>0</v>
      </c>
      <c r="AA237">
        <f t="shared" si="44"/>
        <v>1</v>
      </c>
    </row>
    <row r="238" spans="1:27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1521006.1015498589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/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1140754.5761623941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380251.52538746473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0</v>
      </c>
      <c r="P238" s="94">
        <f t="shared" si="42"/>
        <v>0</v>
      </c>
      <c r="Q238" s="180">
        <f t="shared" si="46"/>
        <v>1140754.5761623941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0.49143707141075949</v>
      </c>
      <c r="T238">
        <f>IFERROR(VLOOKUP(A238,[1]Biogasudbytte!$A$2:$B$18,2,FALSE)*[1]Energiindhold!$C$10,0)*K238*IFERROR(VLOOKUP(A238,Biogasanlæg!$F$3:$G$8,2,FALSE),1)</f>
        <v>0.49143707141075949</v>
      </c>
      <c r="U238" s="170">
        <f t="shared" si="4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57037.728808119711</v>
      </c>
      <c r="X238">
        <f>K238*IFERROR(VLOOKUP(A238,[1]Tørstofindhold!A$2:B$24,2,FALSE),0)</f>
        <v>57037.728808119711</v>
      </c>
      <c r="Y238" s="170">
        <f t="shared" si="48"/>
        <v>0</v>
      </c>
      <c r="Z238">
        <f t="shared" si="43"/>
        <v>0</v>
      </c>
      <c r="AA238">
        <f t="shared" si="44"/>
        <v>0</v>
      </c>
    </row>
    <row r="239" spans="1:27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137924.05255645732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/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137924.05255645732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/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/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646548.74657684658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/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646548.74657684658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646548.74657684658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9.3707988062214476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9.3707988062214476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319772.23424446536</v>
      </c>
      <c r="X242">
        <f>K242*IFERROR(VLOOKUP(A242,[1]Tørstofindhold!A$2:B$24,2,FALSE),0)</f>
        <v>0</v>
      </c>
      <c r="Y242" s="170">
        <f t="shared" ca="1" si="48"/>
        <v>319772.23424446536</v>
      </c>
      <c r="Z242">
        <f t="shared" ca="1" si="43"/>
        <v>0</v>
      </c>
      <c r="AA242">
        <f t="shared" ca="1" si="44"/>
        <v>0</v>
      </c>
    </row>
    <row r="243" spans="1:27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178296.99682560615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/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178296.99682560615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/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3268.9483710154163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222547.77389902543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724.66280069904622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/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221823.11109832639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/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34982106.843700282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/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34982106.843700282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34982106.843700282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1991891.0696177674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/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49046.385600017013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1942844.6840177504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848917.27645660576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/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764025.54881094524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84891.727645660518</v>
      </c>
      <c r="P249" s="94">
        <f t="shared" si="42"/>
        <v>84891.727645660518</v>
      </c>
      <c r="Q249" s="180">
        <f t="shared" si="46"/>
        <v>764025.54881094524</v>
      </c>
      <c r="R249">
        <f>IFERROR(VLOOKUP(A249,[1]Energiindhold!$A$2:$C$11,3,FALSE),IFERROR(VLOOKUP(A249,[1]Biogasudbytte!$A$2:$B$18,2,FALSE)*[1]Energiindhold!$C$10,0))*P249</f>
        <v>4.822071501915462E-2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0.48220715019154659</v>
      </c>
      <c r="T249">
        <f>IFERROR(VLOOKUP(A249,[1]Biogasudbytte!$A$2:$B$18,2,FALSE)*[1]Energiindhold!$C$10,0)*K249*IFERROR(VLOOKUP(A249,Biogasanlæg!$F$3:$G$8,2,FALSE),1)</f>
        <v>0.43398643517239194</v>
      </c>
      <c r="U249" s="170">
        <f t="shared" si="47"/>
        <v>4.8220715019154647E-2</v>
      </c>
      <c r="V249" s="169">
        <f>P249*IFERROR(VLOOKUP(A249,[1]Tørstofindhold!A$2:B$24,2,FALSE),0)</f>
        <v>3630.2578498196654</v>
      </c>
      <c r="W249">
        <f>IF(E249=År1,Q249,SUM(P249,Q249))*IFERROR(VLOOKUP(A249,[1]Tørstofindhold!A$2:B$24,2,FALSE),0)</f>
        <v>36302.578498196679</v>
      </c>
      <c r="X249">
        <f>K249*IFERROR(VLOOKUP(A249,[1]Tørstofindhold!A$2:B$24,2,FALSE),0)</f>
        <v>32672.320648377012</v>
      </c>
      <c r="Y249" s="170">
        <f t="shared" si="48"/>
        <v>3630.2578498196672</v>
      </c>
      <c r="Z249">
        <f t="shared" si="43"/>
        <v>0</v>
      </c>
      <c r="AA249">
        <f t="shared" si="44"/>
        <v>1</v>
      </c>
    </row>
    <row r="250" spans="1:27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81826.264655313833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/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73643.638189782447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3097.7085905225945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5084.9178750087885</v>
      </c>
      <c r="P250" s="94">
        <f t="shared" si="42"/>
        <v>5084.9178750087885</v>
      </c>
      <c r="Q250" s="180">
        <f t="shared" si="46"/>
        <v>73643.638189782447</v>
      </c>
      <c r="R250">
        <f>IFERROR(VLOOKUP(A250,[1]Energiindhold!$A$2:$C$11,3,FALSE),IFERROR(VLOOKUP(A250,[1]Biogasudbytte!$A$2:$B$18,2,FALSE)*[1]Energiindhold!$C$10,0))*P250</f>
        <v>1.095291310276893E-2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0.16958130976356034</v>
      </c>
      <c r="T250">
        <f>IFERROR(VLOOKUP(A250,[1]Biogasudbytte!$A$2:$B$18,2,FALSE)*[1]Energiindhold!$C$10,0)*K250*IFERROR(VLOOKUP(A250,Biogasanlæg!$F$3:$G$8,2,FALSE),1)</f>
        <v>0.1586283966607914</v>
      </c>
      <c r="U250" s="170">
        <f t="shared" si="47"/>
        <v>1.0952913102768941E-2</v>
      </c>
      <c r="V250" s="169">
        <f>P250*IFERROR(VLOOKUP(A250,[1]Tørstofindhold!A$2:B$24,2,FALSE),0)</f>
        <v>1525.4753625026365</v>
      </c>
      <c r="W250">
        <f>IF(E250=År1,Q250,SUM(P250,Q250))*IFERROR(VLOOKUP(A250,[1]Tørstofindhold!A$2:B$24,2,FALSE),0)</f>
        <v>23618.566819437368</v>
      </c>
      <c r="X250">
        <f>K250*IFERROR(VLOOKUP(A250,[1]Tørstofindhold!A$2:B$24,2,FALSE),0)</f>
        <v>22093.091456934733</v>
      </c>
      <c r="Y250" s="170">
        <f t="shared" si="48"/>
        <v>1525.4753625026351</v>
      </c>
      <c r="Z250">
        <f t="shared" si="43"/>
        <v>0</v>
      </c>
      <c r="AA250">
        <f t="shared" si="44"/>
        <v>1</v>
      </c>
    </row>
    <row r="251" spans="1:27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597924.82232323941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92711.316101913326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/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505213.50622132607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/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0</v>
      </c>
      <c r="P252" s="94">
        <f t="shared" si="42"/>
        <v>0</v>
      </c>
      <c r="Q252" s="180">
        <f t="shared" si="46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4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48"/>
        <v>0</v>
      </c>
      <c r="Z252">
        <f t="shared" si="43"/>
        <v>0</v>
      </c>
      <c r="AA252">
        <f t="shared" si="44"/>
        <v>0</v>
      </c>
    </row>
    <row r="253" spans="1:27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/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503.71416194271836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20896.559297118682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/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20896.559297118682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257689.18202978774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/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257689.18202978774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48"/>
        <v>0</v>
      </c>
      <c r="Z255">
        <f t="shared" si="43"/>
        <v>0</v>
      </c>
      <c r="AA255">
        <f t="shared" si="44"/>
        <v>1</v>
      </c>
    </row>
    <row r="256" spans="1:27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/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0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0</v>
      </c>
      <c r="X256">
        <f>K256*IFERROR(VLOOKUP(A256,[1]Tørstofindhold!A$2:B$24,2,FALSE),0)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11397047.281261299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137494.70167152316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/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1737262.7267654187</v>
      </c>
      <c r="O257" s="179">
        <f t="shared" si="45"/>
        <v>9522289.8528243564</v>
      </c>
      <c r="P257" s="94">
        <f t="shared" si="42"/>
        <v>9522289.8528243564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17.519823042965214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17.519823042965214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17.519823042965214</v>
      </c>
      <c r="V257" s="169">
        <f>P257*IFERROR(VLOOKUP(A257,[1]Tørstofindhold!A$2:B$24,2,FALSE),0)</f>
        <v>2666241.1587908203</v>
      </c>
      <c r="W257">
        <f>IF(E257=År1,Q257,SUM(P257,Q257))*IFERROR(VLOOKUP(A257,[1]Tørstofindhold!A$2:B$24,2,FALSE),0)</f>
        <v>2666241.1587908203</v>
      </c>
      <c r="X257">
        <f>K257*IFERROR(VLOOKUP(A257,[1]Tørstofindhold!A$2:B$24,2,FALSE),0)</f>
        <v>0</v>
      </c>
      <c r="Y257" s="170">
        <f t="shared" si="48"/>
        <v>2666241.1587908203</v>
      </c>
      <c r="Z257">
        <f t="shared" si="43"/>
        <v>0</v>
      </c>
      <c r="AA257">
        <f t="shared" si="44"/>
        <v>1</v>
      </c>
    </row>
    <row r="258" spans="1:27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290420.62798557343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290420.62798557343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/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100376.66803290648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/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100376.66803290648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48"/>
        <v>0</v>
      </c>
      <c r="Z259">
        <f t="shared" si="43"/>
        <v>0</v>
      </c>
      <c r="AA259">
        <f t="shared" si="44"/>
        <v>1</v>
      </c>
    </row>
    <row r="260" spans="1:27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237236.55198901493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8685.8888472677336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9665.8931514547894</v>
      </c>
      <c r="J260" s="94"/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218884.76999029241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218884.76999029241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2.2623505932056318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2.2623505932056318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186052.05449174854</v>
      </c>
      <c r="X260">
        <f>K260*IFERROR(VLOOKUP(A260,[1]Tørstofindhold!A$2:B$24,2,FALSE),0)</f>
        <v>0</v>
      </c>
      <c r="Y260" s="170">
        <f t="shared" si="48"/>
        <v>186052.05449174854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/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0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/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0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48"/>
        <v>0</v>
      </c>
      <c r="Z262">
        <f t="shared" si="54"/>
        <v>0</v>
      </c>
      <c r="AA262">
        <f t="shared" si="55"/>
        <v>0</v>
      </c>
    </row>
    <row r="263" spans="1:27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168748.58777288889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/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168748.58777288889</v>
      </c>
      <c r="P263" s="94">
        <f t="shared" si="53"/>
        <v>168748.58777288889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0.73120956813633808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0.73120956813633808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0.73120956813633808</v>
      </c>
      <c r="V263" s="169">
        <f>P263*IFERROR(VLOOKUP(A263,[1]Tørstofindhold!A$2:B$24,2,FALSE),0)</f>
        <v>70874.406864613324</v>
      </c>
      <c r="W263">
        <f>IF(E263=År1,Q263,SUM(P263,Q263))*IFERROR(VLOOKUP(A263,[1]Tørstofindhold!A$2:B$24,2,FALSE),0)</f>
        <v>70874.406864613324</v>
      </c>
      <c r="X263">
        <f>K263*IFERROR(VLOOKUP(A263,[1]Tørstofindhold!A$2:B$24,2,FALSE),0)</f>
        <v>0</v>
      </c>
      <c r="Y263" s="170">
        <f t="shared" si="48"/>
        <v>70874.406864613324</v>
      </c>
      <c r="Z263">
        <f t="shared" si="54"/>
        <v>0</v>
      </c>
      <c r="AA263">
        <f t="shared" si="55"/>
        <v>1</v>
      </c>
    </row>
    <row r="264" spans="1:27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128654.0299653736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/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128654.0299653736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777428.93272593827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/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777428.93272593827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160350.24819795735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16515.993687659306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/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143834.25451029805</v>
      </c>
      <c r="P266" s="94">
        <f t="shared" si="53"/>
        <v>143834.25451029805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0.49261218490213948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0.49261218490213948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0.49261218490213948</v>
      </c>
      <c r="V266" s="169">
        <f>P266*IFERROR(VLOOKUP(A266,[1]Tørstofindhold!A$2:B$24,2,FALSE),0)</f>
        <v>44588.618898192399</v>
      </c>
      <c r="W266">
        <f>IF(E266=År1,Q266,SUM(P266,Q266))*IFERROR(VLOOKUP(A266,[1]Tørstofindhold!A$2:B$24,2,FALSE),0)</f>
        <v>44588.618898192399</v>
      </c>
      <c r="X266">
        <f>K266*IFERROR(VLOOKUP(A266,[1]Tørstofindhold!A$2:B$24,2,FALSE),0)</f>
        <v>0</v>
      </c>
      <c r="Y266" s="170">
        <f t="shared" si="48"/>
        <v>44588.618898192399</v>
      </c>
      <c r="Z266">
        <f t="shared" si="54"/>
        <v>0</v>
      </c>
      <c r="AA266">
        <f t="shared" si="55"/>
        <v>1</v>
      </c>
    </row>
    <row r="267" spans="1:27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/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354450.69932080351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-354450.69932080351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48"/>
        <v>0</v>
      </c>
      <c r="Z267">
        <f t="shared" ca="1" si="54"/>
        <v>1</v>
      </c>
      <c r="AA267">
        <f t="shared" ca="1" si="55"/>
        <v>0</v>
      </c>
    </row>
    <row r="268" spans="1:27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4885.9701831397151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/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4397.3731648257435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488.59701831397138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0</v>
      </c>
      <c r="P268" s="94">
        <f t="shared" si="53"/>
        <v>0</v>
      </c>
      <c r="Q268" s="180">
        <f t="shared" si="46"/>
        <v>4397.3731648257435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2.2259063223031435E-3</v>
      </c>
      <c r="T268">
        <f>IFERROR(VLOOKUP(A268,[1]Biogasudbytte!$A$2:$B$18,2,FALSE)*[1]Energiindhold!$C$10,0)*K268*IFERROR(VLOOKUP(A268,Biogasanlæg!$F$3:$G$8,2,FALSE),1)</f>
        <v>2.2259063223031435E-3</v>
      </c>
      <c r="U268" s="170">
        <f t="shared" si="4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334.20036052675653</v>
      </c>
      <c r="X268">
        <f>K268*IFERROR(VLOOKUP(A268,[1]Tørstofindhold!A$2:B$24,2,FALSE),0)</f>
        <v>334.20036052675653</v>
      </c>
      <c r="Y268" s="170">
        <f t="shared" si="48"/>
        <v>0</v>
      </c>
      <c r="Z268">
        <f t="shared" si="54"/>
        <v>0</v>
      </c>
      <c r="AA268">
        <f t="shared" si="55"/>
        <v>0</v>
      </c>
    </row>
    <row r="269" spans="1:27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0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0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/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0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48"/>
        <v>0</v>
      </c>
      <c r="Z269">
        <f t="shared" si="54"/>
        <v>0</v>
      </c>
      <c r="AA269">
        <f t="shared" si="55"/>
        <v>0</v>
      </c>
    </row>
    <row r="270" spans="1:27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170724.37456200234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63394.503378227986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/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107329.87118377435</v>
      </c>
      <c r="P270" s="94">
        <f t="shared" si="53"/>
        <v>107329.87118377435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0.38531423754974992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0.38531423754974992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0.38531423754974992</v>
      </c>
      <c r="V270" s="169">
        <f>P270*IFERROR(VLOOKUP(A270,[1]Tørstofindhold!A$2:B$24,2,FALSE),0)</f>
        <v>32198.961355132302</v>
      </c>
      <c r="W270">
        <f>IF(E270=År1,Q270,SUM(P270,Q270))*IFERROR(VLOOKUP(A270,[1]Tørstofindhold!A$2:B$24,2,FALSE),0)</f>
        <v>32198.961355132302</v>
      </c>
      <c r="X270">
        <f>K270*IFERROR(VLOOKUP(A270,[1]Tørstofindhold!A$2:B$24,2,FALSE),0)</f>
        <v>0</v>
      </c>
      <c r="Y270" s="170">
        <f t="shared" si="48"/>
        <v>32198.961355132302</v>
      </c>
      <c r="Z270">
        <f t="shared" si="54"/>
        <v>0</v>
      </c>
      <c r="AA270">
        <f t="shared" si="55"/>
        <v>1</v>
      </c>
    </row>
    <row r="271" spans="1:27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0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/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0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48"/>
        <v>0</v>
      </c>
      <c r="Z271">
        <f t="shared" si="54"/>
        <v>0</v>
      </c>
      <c r="AA271">
        <f t="shared" si="55"/>
        <v>0</v>
      </c>
    </row>
    <row r="272" spans="1:27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/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278.2619831544028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/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278.2619831544028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48"/>
        <v>0</v>
      </c>
      <c r="Z273">
        <f t="shared" si="54"/>
        <v>0</v>
      </c>
      <c r="AA273">
        <f t="shared" si="55"/>
        <v>1</v>
      </c>
    </row>
    <row r="274" spans="1:27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30169.993972883625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/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30169.993972883625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437726.22620455944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/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437726.22620455944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437726.22620455944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8.0541625621638921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8.0541625621638921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181656.38387489217</v>
      </c>
      <c r="X275">
        <f>K275*IFERROR(VLOOKUP(A275,[1]Tørstofindhold!A$2:B$24,2,FALSE),0)</f>
        <v>0</v>
      </c>
      <c r="Y275" s="170">
        <f t="shared" si="48"/>
        <v>181656.38387489217</v>
      </c>
      <c r="Z275">
        <f t="shared" si="54"/>
        <v>0</v>
      </c>
      <c r="AA275">
        <f t="shared" si="55"/>
        <v>0</v>
      </c>
    </row>
    <row r="276" spans="1:27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/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/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0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/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0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0</v>
      </c>
    </row>
    <row r="279" spans="1:27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215982.61635398451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/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215982.61635398451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107991.30817699226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2405.4779078760002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/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105585.83026911625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48"/>
        <v>0</v>
      </c>
      <c r="Z280">
        <f t="shared" si="59"/>
        <v>0</v>
      </c>
      <c r="AA280">
        <f t="shared" si="60"/>
        <v>1</v>
      </c>
    </row>
    <row r="281" spans="1:27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69114.43723327505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/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69114.43723327505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69114.43723327505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2.4190053031646266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2.4190053031646266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914724.5674164847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9450.8106924500589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/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905273.75672403467</v>
      </c>
      <c r="P282" s="94">
        <f t="shared" si="58"/>
        <v>905273.75672403467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2.456949186699299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2.456949186699299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2.456949186699299</v>
      </c>
      <c r="V282" s="169">
        <f>P282*IFERROR(VLOOKUP(A282,[1]Tørstofindhold!A$2:B$24,2,FALSE),0)</f>
        <v>181054.75134480695</v>
      </c>
      <c r="W282">
        <f>IF(E282=År1,Q282,SUM(P282,Q282))*IFERROR(VLOOKUP(A282,[1]Tørstofindhold!A$2:B$24,2,FALSE),0)</f>
        <v>181054.75134480695</v>
      </c>
      <c r="X282">
        <f>K282*IFERROR(VLOOKUP(A282,[1]Tørstofindhold!A$2:B$24,2,FALSE),0)</f>
        <v>0</v>
      </c>
      <c r="Y282" s="170">
        <f t="shared" si="48"/>
        <v>181054.75134480695</v>
      </c>
      <c r="Z282">
        <f t="shared" si="59"/>
        <v>0</v>
      </c>
      <c r="AA282">
        <f t="shared" si="60"/>
        <v>1</v>
      </c>
    </row>
    <row r="283" spans="1:27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807.52489656472994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/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807.52489656472994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650.65285036970454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594.50530988460082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/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56.147540485103718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65"/>
        <v>0</v>
      </c>
      <c r="Z284">
        <f t="shared" si="59"/>
        <v>0</v>
      </c>
      <c r="AA284">
        <f t="shared" si="60"/>
        <v>1</v>
      </c>
    </row>
    <row r="285" spans="1:27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3491788.2152479719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/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1324256.6444942397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2167531.5707537322</v>
      </c>
      <c r="P285" s="94">
        <f t="shared" si="58"/>
        <v>2167531.5707537322</v>
      </c>
      <c r="Q285" s="180">
        <f t="shared" si="63"/>
        <v>1324256.6444942397</v>
      </c>
      <c r="R285">
        <f>IFERROR(VLOOKUP(A285,[1]Energiindhold!$A$2:$C$11,3,FALSE),IFERROR(VLOOKUP(A285,[1]Biogasudbytte!$A$2:$B$18,2,FALSE)*[1]Energiindhold!$C$10,0))*P285</f>
        <v>1.08161992912182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1.7424372372908907</v>
      </c>
      <c r="T285">
        <f>IFERROR(VLOOKUP(A285,[1]Biogasudbytte!$A$2:$B$18,2,FALSE)*[1]Energiindhold!$C$10,0)*K285*IFERROR(VLOOKUP(A285,Biogasanlæg!$F$3:$G$8,2,FALSE),1)</f>
        <v>0.66081730816907069</v>
      </c>
      <c r="U285" s="170">
        <f t="shared" si="64"/>
        <v>1.08161992912182</v>
      </c>
      <c r="V285" s="169">
        <f>P285*IFERROR(VLOOKUP(A285,[1]Tørstofindhold!A$2:B$24,2,FALSE),0)</f>
        <v>130051.89424522393</v>
      </c>
      <c r="W285">
        <f>IF(E285=År1,Q285,SUM(P285,Q285))*IFERROR(VLOOKUP(A285,[1]Tørstofindhold!A$2:B$24,2,FALSE),0)</f>
        <v>209507.29291487832</v>
      </c>
      <c r="X285">
        <f>K285*IFERROR(VLOOKUP(A285,[1]Tørstofindhold!A$2:B$24,2,FALSE),0)</f>
        <v>79455.398669654372</v>
      </c>
      <c r="Y285" s="170">
        <f t="shared" si="65"/>
        <v>130051.89424522394</v>
      </c>
      <c r="Z285">
        <f t="shared" si="59"/>
        <v>0</v>
      </c>
      <c r="AA285">
        <f t="shared" si="60"/>
        <v>1</v>
      </c>
    </row>
    <row r="286" spans="1:27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/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6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7095.888967518189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/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7095.888967518189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/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/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611742.92957675515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/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611742.92957675515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611742.92957675515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8.8663382993828446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8.8663382993828446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302557.85725317016</v>
      </c>
      <c r="X290">
        <f>K290*IFERROR(VLOOKUP(A290,[1]Tørstofindhold!A$2:B$24,2,FALSE),0)</f>
        <v>0</v>
      </c>
      <c r="Y290" s="170">
        <f t="shared" ca="1" si="65"/>
        <v>302557.85725317016</v>
      </c>
      <c r="Z290">
        <f t="shared" ca="1" si="59"/>
        <v>0</v>
      </c>
      <c r="AA290">
        <f t="shared" ca="1" si="60"/>
        <v>0</v>
      </c>
    </row>
    <row r="291" spans="1:27" ht="15.75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176699.18645513742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/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176699.18645513742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autoFilter ref="A3:AA291" xr:uid="{E8FEB0F6-BC35-420D-A381-2F9B028DCC93}"/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G104" activePane="bottomRight" state="frozen"/>
      <selection pane="topRight" activeCell="F1" sqref="F1"/>
      <selection pane="bottomLeft" activeCell="A3" sqref="A3"/>
      <selection pane="bottomRight" activeCell="H122" sqref="H122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1" width="10.7109375" bestFit="1" customWidth="1"/>
    <col min="12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3" ht="15.75" thickTop="1" x14ac:dyDescent="0.25">
      <c r="A1" s="444" t="s">
        <v>247</v>
      </c>
      <c r="B1" s="444"/>
      <c r="C1" s="444"/>
      <c r="D1" s="444"/>
      <c r="E1" s="393"/>
      <c r="G1" s="445" t="s">
        <v>249</v>
      </c>
      <c r="H1" s="445"/>
      <c r="I1" s="445"/>
      <c r="J1" s="445"/>
      <c r="K1" s="445"/>
      <c r="L1" s="445"/>
      <c r="M1" s="445"/>
      <c r="N1" s="446"/>
      <c r="O1" s="447" t="s">
        <v>250</v>
      </c>
      <c r="P1" s="448"/>
      <c r="Q1" s="449"/>
      <c r="R1" s="441" t="s">
        <v>122</v>
      </c>
      <c r="S1" s="441"/>
      <c r="T1" s="441"/>
      <c r="U1" s="442"/>
      <c r="V1" s="443" t="s">
        <v>228</v>
      </c>
      <c r="W1" s="441"/>
      <c r="X1" s="441"/>
      <c r="Y1" s="442"/>
      <c r="AC1" s="450" t="s">
        <v>335</v>
      </c>
      <c r="AD1" s="450"/>
    </row>
    <row r="2" spans="1:33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33" x14ac:dyDescent="0.25">
      <c r="A3" s="91" t="s">
        <v>128</v>
      </c>
      <c r="B3" s="91" t="s">
        <v>310</v>
      </c>
      <c r="C3" s="91" t="s">
        <v>340</v>
      </c>
      <c r="D3" s="91" t="s">
        <v>129</v>
      </c>
      <c r="E3" s="91" t="s">
        <v>337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  <c r="AB3" s="400" t="str">
        <f>""</f>
        <v/>
      </c>
      <c r="AC3" s="91" t="s">
        <v>336</v>
      </c>
      <c r="AD3" s="91" t="s">
        <v>338</v>
      </c>
      <c r="AE3" s="91" t="s">
        <v>382</v>
      </c>
      <c r="AF3" s="91" t="s">
        <v>385</v>
      </c>
      <c r="AG3" s="91" t="s">
        <v>403</v>
      </c>
    </row>
    <row r="4" spans="1:33" x14ac:dyDescent="0.25">
      <c r="A4" s="171" t="s">
        <v>15</v>
      </c>
      <c r="B4" s="171"/>
      <c r="C4" s="171" t="str">
        <f>IFERROR(VLOOKUP(A4,'Kategorisering af kcal'!$A$2:$B$18,2,FALSE),"")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31522.55833067331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203477.44166932668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AC4*E4*10000*VLOOKUP(A4,[1]kcal!$A$2:$C$49,3,FALSE)/1000000000000*IFERROR(VLOOKUP(A4,'Kategorisering af kcal'!$A$2:$E$18,MATCH('Produktion &amp; forbrug'!F4,'Kategorisering af kcal'!$A$1:$E$1,0),FALSE),0)</f>
        <v>0.32429999999999998</v>
      </c>
      <c r="AE4">
        <f>IF(C4&lt;&gt;"",AC4*(1-IF(A4&lt;&gt;"Græs",VLOOKUP(A4,'Kategorisering af kcal'!$A$2:$E$18,MATCH('Produktion &amp; forbrug'!F4,'Kategorisering af kcal'!$A$1:$E$1,0),FALSE),HLOOKUP(F4,Græsprotein!$C$2:$E$8,7))),'Produktion &amp; forbrug'!AC4)</f>
        <v>0</v>
      </c>
      <c r="AF4" s="94">
        <f>AC4-AE4</f>
        <v>235000</v>
      </c>
      <c r="AG4">
        <f>IF(AC4&lt;0,AD4,G4*E4*10000*VLOOKUP(A4,[1]kcal!$A$2:$C$49,3,FALSE)/1000000000000*IFERROR(VLOOKUP(A4,'Kategorisering af kcal'!$A$2:$E$18,MATCH('Produktion &amp; forbrug'!F4,'Kategorisering af kcal'!$A$1:$E$1,0),FALSE),0))</f>
        <v>0.32429999999999998</v>
      </c>
    </row>
    <row r="5" spans="1:33" x14ac:dyDescent="0.25">
      <c r="A5" s="171" t="s">
        <v>49</v>
      </c>
      <c r="B5" s="171"/>
      <c r="C5" s="171" t="str">
        <f>IFERROR(VLOOKUP(A5,'Kategorisering af kcal'!$A$2:$B$18,2,FALSE),"")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AC5*E5*10000*VLOOKUP(A5,[1]kcal!$A$2:$C$49,3,FALSE)/1000000000000*IFERROR(VLOOKUP(A5,'Kategorisering af kcal'!$A$2:$E$18,MATCH('Produktion &amp; forbrug'!F5,'Kategorisering af kcal'!$A$1:$E$1,0),FALSE),0)</f>
        <v>1.4789708396899257</v>
      </c>
      <c r="AE5">
        <f>IF(C5&lt;&gt;"",AC5*(1-IF(A5&lt;&gt;"Græs",VLOOKUP(A5,'Kategorisering af kcal'!$A$2:$E$18,MATCH('Produktion &amp; forbrug'!F5,'Kategorisering af kcal'!$A$1:$E$1,0),FALSE),HLOOKUP(F5,Græsprotein!$C$2:$E$8,7))),'Produktion &amp; forbrug'!AC5)</f>
        <v>0</v>
      </c>
      <c r="AF5" s="94">
        <f t="shared" ref="AF5:AF68" si="9">AC5-AE5</f>
        <v>212954.76453418657</v>
      </c>
      <c r="AG5">
        <f>IF(AC5&lt;0,AD5,G5*E5*10000*VLOOKUP(A5,[1]kcal!$A$2:$C$49,3,FALSE)/1000000000000*IFERROR(VLOOKUP(A5,'Kategorisering af kcal'!$A$2:$E$18,MATCH('Produktion &amp; forbrug'!F5,'Kategorisering af kcal'!$A$1:$E$1,0),FALSE),0))</f>
        <v>1.9818936552198592</v>
      </c>
    </row>
    <row r="6" spans="1:33" x14ac:dyDescent="0.25">
      <c r="A6" s="171" t="s">
        <v>102</v>
      </c>
      <c r="B6" s="171" t="s">
        <v>229</v>
      </c>
      <c r="C6" s="171" t="str">
        <f>IFERROR(VLOOKUP(A6,'Kategorisering af kcal'!$A$2:$B$18,2,FALSE),"")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AC6*E6*10000*VLOOKUP(A6,[1]kcal!$A$2:$C$49,3,FALSE)/1000000000000*IFERROR(VLOOKUP(A6,'Kategorisering af kcal'!$A$2:$E$18,MATCH('Produktion &amp; forbrug'!F6,'Kategorisering af kcal'!$A$1:$E$1,0),FALSE),0)</f>
        <v>0</v>
      </c>
      <c r="AE6">
        <f ca="1">IF(C6&lt;&gt;"",AC6*(1-IF(A6&lt;&gt;"Græs",VLOOKUP(A6,'Kategorisering af kcal'!$A$2:$E$18,MATCH('Produktion &amp; forbrug'!F6,'Kategorisering af kcal'!$A$1:$E$1,0),FALSE),HLOOKUP(F6,Græsprotein!$C$2:$E$8,7))),'Produktion &amp; forbrug'!AC6)</f>
        <v>-370459.67448149773</v>
      </c>
      <c r="AF6" s="94">
        <f t="shared" ca="1" si="9"/>
        <v>0</v>
      </c>
      <c r="AG6">
        <f ca="1">IF(AC6&lt;0,AD6,G6*E6*10000*VLOOKUP(A6,[1]kcal!$A$2:$C$49,3,FALSE)/1000000000000*IFERROR(VLOOKUP(A6,'Kategorisering af kcal'!$A$2:$E$18,MATCH('Produktion &amp; forbrug'!F6,'Kategorisering af kcal'!$A$1:$E$1,0),FALSE),0))</f>
        <v>0</v>
      </c>
    </row>
    <row r="7" spans="1:33" x14ac:dyDescent="0.25">
      <c r="A7" s="171" t="s">
        <v>109</v>
      </c>
      <c r="B7" s="171"/>
      <c r="C7" s="171" t="str">
        <f>IFERROR(VLOOKUP(A7,'Kategorisering af kcal'!$A$2:$B$18,2,FALSE),"")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AC7*E7*10000*VLOOKUP(A7,[1]kcal!$A$2:$C$49,3,FALSE)/1000000000000*IFERROR(VLOOKUP(A7,'Kategorisering af kcal'!$A$2:$E$18,MATCH('Produktion &amp; forbrug'!F7,'Kategorisering af kcal'!$A$1:$E$1,0),FALSE),0)</f>
        <v>0</v>
      </c>
      <c r="AE7">
        <f ca="1">IF(C7&lt;&gt;"",AC7*(1-IF(A7&lt;&gt;"Græs",VLOOKUP(A7,'Kategorisering af kcal'!$A$2:$E$18,MATCH('Produktion &amp; forbrug'!F7,'Kategorisering af kcal'!$A$1:$E$1,0),FALSE),HLOOKUP(F7,Græsprotein!$C$2:$E$8,7))),'Produktion &amp; forbrug'!AC7)</f>
        <v>462837288.84999996</v>
      </c>
      <c r="AF7" s="94">
        <f t="shared" ca="1" si="9"/>
        <v>0</v>
      </c>
      <c r="AG7">
        <f ca="1">IF(AC7&lt;0,AD7,G7*E7*10000*VLOOKUP(A7,[1]kcal!$A$2:$C$49,3,FALSE)/1000000000000*IFERROR(VLOOKUP(A7,'Kategorisering af kcal'!$A$2:$E$18,MATCH('Produktion &amp; forbrug'!F7,'Kategorisering af kcal'!$A$1:$E$1,0),FALSE),0))</f>
        <v>0</v>
      </c>
    </row>
    <row r="8" spans="1:33" x14ac:dyDescent="0.25">
      <c r="A8" s="171" t="s">
        <v>110</v>
      </c>
      <c r="B8" s="171"/>
      <c r="C8" s="171" t="str">
        <f>IFERROR(VLOOKUP(A8,'Kategorisering af kcal'!$A$2:$B$18,2,FALSE),"")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AC8*E8*10000*VLOOKUP(A8,[1]kcal!$A$2:$C$49,3,FALSE)/1000000000000*IFERROR(VLOOKUP(A8,'Kategorisering af kcal'!$A$2:$E$18,MATCH('Produktion &amp; forbrug'!F8,'Kategorisering af kcal'!$A$1:$E$1,0),FALSE),0)</f>
        <v>0</v>
      </c>
      <c r="AE8">
        <f ca="1">IF(C8&lt;&gt;"",AC8*(1-IF(A8&lt;&gt;"Græs",VLOOKUP(A8,'Kategorisering af kcal'!$A$2:$E$18,MATCH('Produktion &amp; forbrug'!F8,'Kategorisering af kcal'!$A$1:$E$1,0),FALSE),HLOOKUP(F8,Græsprotein!$C$2:$E$8,7))),'Produktion &amp; forbrug'!AC8)</f>
        <v>3230529.0722415131</v>
      </c>
      <c r="AF8" s="94">
        <f t="shared" ca="1" si="9"/>
        <v>0</v>
      </c>
      <c r="AG8">
        <f ca="1">IF(AC8&lt;0,AD8,G8*E8*10000*VLOOKUP(A8,[1]kcal!$A$2:$C$49,3,FALSE)/1000000000000*IFERROR(VLOOKUP(A8,'Kategorisering af kcal'!$A$2:$E$18,MATCH('Produktion &amp; forbrug'!F8,'Kategorisering af kcal'!$A$1:$E$1,0),FALSE),0))</f>
        <v>0</v>
      </c>
    </row>
    <row r="9" spans="1:33" x14ac:dyDescent="0.25">
      <c r="A9" s="171" t="s">
        <v>207</v>
      </c>
      <c r="B9" s="171" t="s">
        <v>229</v>
      </c>
      <c r="C9" s="171" t="str">
        <f>IFERROR(VLOOKUP(A9,'Kategorisering af kcal'!$A$2:$B$18,2,FALSE),"")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AC9*E9*10000*VLOOKUP(A9,[1]kcal!$A$2:$C$49,3,FALSE)/1000000000000*IFERROR(VLOOKUP(A9,'Kategorisering af kcal'!$A$2:$E$18,MATCH('Produktion &amp; forbrug'!F9,'Kategorisering af kcal'!$A$1:$E$1,0),FALSE),0)</f>
        <v>0</v>
      </c>
      <c r="AE9">
        <f>IF(C9&lt;&gt;"",AC9*(1-IF(A9&lt;&gt;"Græs",VLOOKUP(A9,'Kategorisering af kcal'!$A$2:$E$18,MATCH('Produktion &amp; forbrug'!F9,'Kategorisering af kcal'!$A$1:$E$1,0),FALSE),HLOOKUP(F9,Græsprotein!$C$2:$E$8,7))),'Produktion &amp; forbrug'!AC9)</f>
        <v>0</v>
      </c>
      <c r="AF9" s="94">
        <f t="shared" si="9"/>
        <v>0</v>
      </c>
      <c r="AG9">
        <f>IF(AC9&lt;0,AD9,G9*E9*10000*VLOOKUP(A9,[1]kcal!$A$2:$C$49,3,FALSE)/1000000000000*IFERROR(VLOOKUP(A9,'Kategorisering af kcal'!$A$2:$E$18,MATCH('Produktion &amp; forbrug'!F9,'Kategorisering af kcal'!$A$1:$E$1,0),FALSE),0))</f>
        <v>0</v>
      </c>
    </row>
    <row r="10" spans="1:33" x14ac:dyDescent="0.25">
      <c r="A10" t="s">
        <v>101</v>
      </c>
      <c r="B10" s="171" t="s">
        <v>221</v>
      </c>
      <c r="C10" s="171" t="str">
        <f>IFERROR(VLOOKUP(A10,'Kategorisering af kcal'!$A$2:$B$18,2,FALSE),"")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AC10*E10*10000*VLOOKUP(A10,[1]kcal!$A$2:$C$49,3,FALSE)/1000000000000*IFERROR(VLOOKUP(A10,'Kategorisering af kcal'!$A$2:$E$18,MATCH('Produktion &amp; forbrug'!F10,'Kategorisering af kcal'!$A$1:$E$1,0),FALSE),0)</f>
        <v>0</v>
      </c>
      <c r="AE10">
        <f>IF(C10&lt;&gt;"",AC10*(1-IF(A10&lt;&gt;"Græs",VLOOKUP(A10,'Kategorisering af kcal'!$A$2:$E$18,MATCH('Produktion &amp; forbrug'!F10,'Kategorisering af kcal'!$A$1:$E$1,0),FALSE),HLOOKUP(F10,Græsprotein!$C$2:$E$8,7))),'Produktion &amp; forbrug'!AC10)</f>
        <v>1352218.0071428572</v>
      </c>
      <c r="AF10" s="94">
        <f t="shared" si="9"/>
        <v>0</v>
      </c>
      <c r="AG10">
        <f>IF(AC10&lt;0,AD10,G10*E10*10000*VLOOKUP(A10,[1]kcal!$A$2:$C$49,3,FALSE)/1000000000000*IFERROR(VLOOKUP(A10,'Kategorisering af kcal'!$A$2:$E$18,MATCH('Produktion &amp; forbrug'!F10,'Kategorisering af kcal'!$A$1:$E$1,0),FALSE),0))</f>
        <v>0</v>
      </c>
    </row>
    <row r="11" spans="1:33" x14ac:dyDescent="0.25">
      <c r="A11" t="s">
        <v>203</v>
      </c>
      <c r="B11" s="171" t="s">
        <v>203</v>
      </c>
      <c r="C11" s="171" t="str">
        <f>IFERROR(VLOOKUP(A11,'Kategorisering af kcal'!$A$2:$B$18,2,FALSE),"")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AC11*E11*10000*VLOOKUP(A11,[1]kcal!$A$2:$C$49,3,FALSE)/1000000000000*IFERROR(VLOOKUP(A11,'Kategorisering af kcal'!$A$2:$E$18,MATCH('Produktion &amp; forbrug'!F11,'Kategorisering af kcal'!$A$1:$E$1,0),FALSE),0)</f>
        <v>0</v>
      </c>
      <c r="AE11">
        <f>IF(C11&lt;&gt;"",AC11*(1-IF(A11&lt;&gt;"Græs",VLOOKUP(A11,'Kategorisering af kcal'!$A$2:$E$18,MATCH('Produktion &amp; forbrug'!F11,'Kategorisering af kcal'!$A$1:$E$1,0),FALSE),HLOOKUP(F11,Græsprotein!$C$2:$E$8,7))),'Produktion &amp; forbrug'!AC11)</f>
        <v>0</v>
      </c>
      <c r="AF11" s="94">
        <f t="shared" si="9"/>
        <v>0</v>
      </c>
      <c r="AG11">
        <f>IF(AC11&lt;0,AD11,G11*E11*10000*VLOOKUP(A11,[1]kcal!$A$2:$C$49,3,FALSE)/1000000000000*IFERROR(VLOOKUP(A11,'Kategorisering af kcal'!$A$2:$E$18,MATCH('Produktion &amp; forbrug'!F11,'Kategorisering af kcal'!$A$1:$E$1,0),FALSE),0))</f>
        <v>0</v>
      </c>
    </row>
    <row r="12" spans="1:33" x14ac:dyDescent="0.25">
      <c r="A12" t="s">
        <v>137</v>
      </c>
      <c r="B12" s="171" t="s">
        <v>221</v>
      </c>
      <c r="C12" s="171" t="str">
        <f>IFERROR(VLOOKUP(A12,'Kategorisering af kcal'!$A$2:$B$18,2,FALSE),"")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AC12*E12*10000*VLOOKUP(A12,[1]kcal!$A$2:$C$49,3,FALSE)/1000000000000*IFERROR(VLOOKUP(A12,'Kategorisering af kcal'!$A$2:$E$18,MATCH('Produktion &amp; forbrug'!F12,'Kategorisering af kcal'!$A$1:$E$1,0),FALSE),0)</f>
        <v>0</v>
      </c>
      <c r="AE12">
        <f>IF(C12&lt;&gt;"",AC12*(1-IF(A12&lt;&gt;"Græs",VLOOKUP(A12,'Kategorisering af kcal'!$A$2:$E$18,MATCH('Produktion &amp; forbrug'!F12,'Kategorisering af kcal'!$A$1:$E$1,0),FALSE),HLOOKUP(F12,Græsprotein!$C$2:$E$8,7))),'Produktion &amp; forbrug'!AC12)</f>
        <v>0</v>
      </c>
      <c r="AF12" s="94">
        <f t="shared" si="9"/>
        <v>0</v>
      </c>
      <c r="AG12">
        <f>IF(AC12&lt;0,AD12,G12*E12*10000*VLOOKUP(A12,[1]kcal!$A$2:$C$49,3,FALSE)/1000000000000*IFERROR(VLOOKUP(A12,'Kategorisering af kcal'!$A$2:$E$18,MATCH('Produktion &amp; forbrug'!F12,'Kategorisering af kcal'!$A$1:$E$1,0),FALSE),0))</f>
        <v>0</v>
      </c>
    </row>
    <row r="13" spans="1:33" x14ac:dyDescent="0.25">
      <c r="A13" t="s">
        <v>96</v>
      </c>
      <c r="B13" s="171"/>
      <c r="C13" s="171" t="str">
        <f>IFERROR(VLOOKUP(A13,'Kategorisering af kcal'!$A$2:$B$18,2,FALSE),"")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34149.438191562753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167395.86748517418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AC13*E13*10000*VLOOKUP(A13,[1]kcal!$A$2:$C$49,3,FALSE)/1000000000000*IFERROR(VLOOKUP(A13,'Kategorisering af kcal'!$A$2:$E$18,MATCH('Produktion &amp; forbrug'!F13,'Kategorisering af kcal'!$A$1:$E$1,0),FALSE),0)</f>
        <v>0.30634886462864014</v>
      </c>
      <c r="AE13">
        <f>IF(C13&lt;&gt;"",AC13*(1-IF(A13&lt;&gt;"Græs",VLOOKUP(A13,'Kategorisering af kcal'!$A$2:$E$18,MATCH('Produktion &amp; forbrug'!F13,'Kategorisering af kcal'!$A$1:$E$1,0),FALSE),HLOOKUP(F13,Græsprotein!$C$2:$E$8,7))),'Produktion &amp; forbrug'!AC13)</f>
        <v>0</v>
      </c>
      <c r="AF13" s="94">
        <f t="shared" si="9"/>
        <v>201545.30567673693</v>
      </c>
      <c r="AG13">
        <f>IF(AC13&lt;0,AD13,G13*E13*10000*VLOOKUP(A13,[1]kcal!$A$2:$C$49,3,FALSE)/1000000000000*IFERROR(VLOOKUP(A13,'Kategorisering af kcal'!$A$2:$E$18,MATCH('Produktion &amp; forbrug'!F13,'Kategorisering af kcal'!$A$1:$E$1,0),FALSE),0))</f>
        <v>0.30634886462864014</v>
      </c>
    </row>
    <row r="14" spans="1:33" x14ac:dyDescent="0.25">
      <c r="A14" t="s">
        <v>113</v>
      </c>
      <c r="B14" s="171"/>
      <c r="C14" s="171" t="str">
        <f>IFERROR(VLOOKUP(A14,'Kategorisering af kcal'!$A$2:$B$18,2,FALSE),"")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AC14*E14*10000*VLOOKUP(A14,[1]kcal!$A$2:$C$49,3,FALSE)/1000000000000*IFERROR(VLOOKUP(A14,'Kategorisering af kcal'!$A$2:$E$18,MATCH('Produktion &amp; forbrug'!F14,'Kategorisering af kcal'!$A$1:$E$1,0),FALSE),0)</f>
        <v>0</v>
      </c>
      <c r="AE14">
        <f>IF(C14&lt;&gt;"",AC14*(1-IF(A14&lt;&gt;"Græs",VLOOKUP(A14,'Kategorisering af kcal'!$A$2:$E$18,MATCH('Produktion &amp; forbrug'!F14,'Kategorisering af kcal'!$A$1:$E$1,0),FALSE),HLOOKUP(F14,Græsprotein!$C$2:$E$8,7))),'Produktion &amp; forbrug'!AC14)</f>
        <v>1508282.669250763</v>
      </c>
      <c r="AF14" s="94">
        <f t="shared" si="9"/>
        <v>0</v>
      </c>
      <c r="AG14">
        <f>IF(AC14&lt;0,AD14,G14*E14*10000*VLOOKUP(A14,[1]kcal!$A$2:$C$49,3,FALSE)/1000000000000*IFERROR(VLOOKUP(A14,'Kategorisering af kcal'!$A$2:$E$18,MATCH('Produktion &amp; forbrug'!F14,'Kategorisering af kcal'!$A$1:$E$1,0),FALSE),0))</f>
        <v>0</v>
      </c>
    </row>
    <row r="15" spans="1:33" x14ac:dyDescent="0.25">
      <c r="A15" t="s">
        <v>54</v>
      </c>
      <c r="B15" s="171"/>
      <c r="C15" s="171" t="str">
        <f>IFERROR(VLOOKUP(A15,'Kategorisering af kcal'!$A$2:$B$18,2,FALSE),"")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249553.58678449702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-207824.63776728272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AC15*E15*10000*VLOOKUP(A15,[1]kcal!$A$2:$C$49,3,FALSE)/1000000000000*IFERROR(VLOOKUP(A15,'Kategorisering af kcal'!$A$2:$E$18,MATCH('Produktion &amp; forbrug'!F15,'Kategorisering af kcal'!$A$1:$E$1,0),FALSE),0)</f>
        <v>2.1699053488951431E-2</v>
      </c>
      <c r="AE15">
        <f>IF(C15&lt;&gt;"",AC15*(1-IF(A15&lt;&gt;"Græs",VLOOKUP(A15,'Kategorisering af kcal'!$A$2:$E$18,MATCH('Produktion &amp; forbrug'!F15,'Kategorisering af kcal'!$A$1:$E$1,0),FALSE),HLOOKUP(F15,Græsprotein!$C$2:$E$8,7))),'Produktion &amp; forbrug'!AC15)</f>
        <v>0</v>
      </c>
      <c r="AF15" s="94">
        <f t="shared" si="9"/>
        <v>41728.949017214291</v>
      </c>
      <c r="AG15">
        <f>IF(AC15&lt;0,AD15,G15*E15*10000*VLOOKUP(A15,[1]kcal!$A$2:$C$49,3,FALSE)/1000000000000*IFERROR(VLOOKUP(A15,'Kategorisering af kcal'!$A$2:$E$18,MATCH('Produktion &amp; forbrug'!F15,'Kategorisering af kcal'!$A$1:$E$1,0),FALSE),0))</f>
        <v>2.1699053488951431E-2</v>
      </c>
    </row>
    <row r="16" spans="1:33" x14ac:dyDescent="0.25">
      <c r="A16" s="171" t="s">
        <v>158</v>
      </c>
      <c r="B16" s="171" t="s">
        <v>158</v>
      </c>
      <c r="C16" s="171" t="str">
        <f>IFERROR(VLOOKUP(A16,'Kategorisering af kcal'!$A$2:$B$18,2,FALSE),"")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AC16*E16*10000*VLOOKUP(A16,[1]kcal!$A$2:$C$49,3,FALSE)/1000000000000*IFERROR(VLOOKUP(A16,'Kategorisering af kcal'!$A$2:$E$18,MATCH('Produktion &amp; forbrug'!F16,'Kategorisering af kcal'!$A$1:$E$1,0),FALSE),0)</f>
        <v>0</v>
      </c>
      <c r="AE16">
        <f>IF(C16&lt;&gt;"",AC16*(1-IF(A16&lt;&gt;"Græs",VLOOKUP(A16,'Kategorisering af kcal'!$A$2:$E$18,MATCH('Produktion &amp; forbrug'!F16,'Kategorisering af kcal'!$A$1:$E$1,0),FALSE),HLOOKUP(F16,Græsprotein!$C$2:$E$8,7))),'Produktion &amp; forbrug'!AC16)</f>
        <v>-142742</v>
      </c>
      <c r="AF16" s="94">
        <f t="shared" si="9"/>
        <v>0</v>
      </c>
      <c r="AG16">
        <f>IF(AC16&lt;0,AD16,G16*E16*10000*VLOOKUP(A16,[1]kcal!$A$2:$C$49,3,FALSE)/1000000000000*IFERROR(VLOOKUP(A16,'Kategorisering af kcal'!$A$2:$E$18,MATCH('Produktion &amp; forbrug'!F16,'Kategorisering af kcal'!$A$1:$E$1,0),FALSE),0))</f>
        <v>0</v>
      </c>
    </row>
    <row r="17" spans="1:33" x14ac:dyDescent="0.25">
      <c r="A17" s="171" t="s">
        <v>51</v>
      </c>
      <c r="B17" s="171" t="s">
        <v>223</v>
      </c>
      <c r="C17" s="171" t="str">
        <f>IFERROR(VLOOKUP(A17,'Kategorisering af kcal'!$A$2:$B$18,2,FALSE),"")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AC17*E17*10000*VLOOKUP(A17,[1]kcal!$A$2:$C$49,3,FALSE)/1000000000000*IFERROR(VLOOKUP(A17,'Kategorisering af kcal'!$A$2:$E$18,MATCH('Produktion &amp; forbrug'!F17,'Kategorisering af kcal'!$A$1:$E$1,0),FALSE),0)</f>
        <v>0</v>
      </c>
      <c r="AE17">
        <f>IF(C17&lt;&gt;"",AC17*(1-IF(A17&lt;&gt;"Græs",VLOOKUP(A17,'Kategorisering af kcal'!$A$2:$E$18,MATCH('Produktion &amp; forbrug'!F17,'Kategorisering af kcal'!$A$1:$E$1,0),FALSE),HLOOKUP(F17,Græsprotein!$C$2:$E$8,7))),'Produktion &amp; forbrug'!AC17)</f>
        <v>4087571.5535632987</v>
      </c>
      <c r="AF17" s="94">
        <f t="shared" si="9"/>
        <v>0</v>
      </c>
      <c r="AG17">
        <f>IF(AC17&lt;0,AD17,G17*E17*10000*VLOOKUP(A17,[1]kcal!$A$2:$C$49,3,FALSE)/1000000000000*IFERROR(VLOOKUP(A17,'Kategorisering af kcal'!$A$2:$E$18,MATCH('Produktion &amp; forbrug'!F17,'Kategorisering af kcal'!$A$1:$E$1,0),FALSE),0))</f>
        <v>0</v>
      </c>
    </row>
    <row r="18" spans="1:33" x14ac:dyDescent="0.25">
      <c r="A18" s="171" t="s">
        <v>202</v>
      </c>
      <c r="B18" s="171"/>
      <c r="C18" s="171" t="str">
        <f>IFERROR(VLOOKUP(A18,'Kategorisering af kcal'!$A$2:$B$18,2,FALSE),"")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AC18*E18*10000*VLOOKUP(A18,[1]kcal!$A$2:$C$49,3,FALSE)/1000000000000*IFERROR(VLOOKUP(A18,'Kategorisering af kcal'!$A$2:$E$18,MATCH('Produktion &amp; forbrug'!F18,'Kategorisering af kcal'!$A$1:$E$1,0),FALSE),0)</f>
        <v>0</v>
      </c>
      <c r="AE18">
        <f>IF(C18&lt;&gt;"",AC18*(1-IF(A18&lt;&gt;"Græs",VLOOKUP(A18,'Kategorisering af kcal'!$A$2:$E$18,MATCH('Produktion &amp; forbrug'!F18,'Kategorisering af kcal'!$A$1:$E$1,0),FALSE),HLOOKUP(F18,Græsprotein!$C$2:$E$8,7))),'Produktion &amp; forbrug'!AC18)</f>
        <v>0</v>
      </c>
      <c r="AF18" s="94">
        <f t="shared" si="9"/>
        <v>0</v>
      </c>
      <c r="AG18">
        <f>IF(AC18&lt;0,AD18,G18*E18*10000*VLOOKUP(A18,[1]kcal!$A$2:$C$49,3,FALSE)/1000000000000*IFERROR(VLOOKUP(A18,'Kategorisering af kcal'!$A$2:$E$18,MATCH('Produktion &amp; forbrug'!F18,'Kategorisering af kcal'!$A$1:$E$1,0),FALSE),0))</f>
        <v>0</v>
      </c>
    </row>
    <row r="19" spans="1:33" x14ac:dyDescent="0.25">
      <c r="A19" s="171" t="s">
        <v>6</v>
      </c>
      <c r="B19" s="171"/>
      <c r="C19" s="171" t="str">
        <f>IFERROR(VLOOKUP(A19,'Kategorisering af kcal'!$A$2:$B$18,2,FALSE),"")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261374.54615849949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18947.890600816929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0</v>
      </c>
      <c r="AA19">
        <f t="shared" si="1"/>
        <v>1</v>
      </c>
      <c r="AC19" s="94">
        <f t="shared" si="8"/>
        <v>280322.43675931642</v>
      </c>
      <c r="AD19">
        <f>AC19*E19*10000*VLOOKUP(A19,[1]kcal!$A$2:$C$49,3,FALSE)/1000000000000*IFERROR(VLOOKUP(A19,'Kategorisering af kcal'!$A$2:$E$18,MATCH('Produktion &amp; forbrug'!F19,'Kategorisering af kcal'!$A$1:$E$1,0),FALSE),0)</f>
        <v>0.10932575033613341</v>
      </c>
      <c r="AE19">
        <f>IF(C19&lt;&gt;"",AC19*(1-IF(A19&lt;&gt;"Græs",VLOOKUP(A19,'Kategorisering af kcal'!$A$2:$E$18,MATCH('Produktion &amp; forbrug'!F19,'Kategorisering af kcal'!$A$1:$E$1,0),FALSE),HLOOKUP(F19,Græsprotein!$C$2:$E$8,7))),'Produktion &amp; forbrug'!AC19)</f>
        <v>0</v>
      </c>
      <c r="AF19" s="94">
        <f t="shared" si="9"/>
        <v>280322.43675931642</v>
      </c>
      <c r="AG19">
        <f>IF(AC19&lt;0,AD19,G19*E19*10000*VLOOKUP(A19,[1]kcal!$A$2:$C$49,3,FALSE)/1000000000000*IFERROR(VLOOKUP(A19,'Kategorisering af kcal'!$A$2:$E$18,MATCH('Produktion &amp; forbrug'!F19,'Kategorisering af kcal'!$A$1:$E$1,0),FALSE),0))</f>
        <v>0.10932575033613341</v>
      </c>
    </row>
    <row r="20" spans="1:33" x14ac:dyDescent="0.25">
      <c r="A20" s="171" t="s">
        <v>67</v>
      </c>
      <c r="B20" s="171" t="s">
        <v>226</v>
      </c>
      <c r="C20" s="171" t="str">
        <f>IFERROR(VLOOKUP(A20,'Kategorisering af kcal'!$A$2:$B$18,2,FALSE),"")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AC20*E20*10000*VLOOKUP(A20,[1]kcal!$A$2:$C$49,3,FALSE)/1000000000000*IFERROR(VLOOKUP(A20,'Kategorisering af kcal'!$A$2:$E$18,MATCH('Produktion &amp; forbrug'!F20,'Kategorisering af kcal'!$A$1:$E$1,0),FALSE),0)</f>
        <v>0</v>
      </c>
      <c r="AE20">
        <f>IF(C20&lt;&gt;"",AC20*(1-IF(A20&lt;&gt;"Græs",VLOOKUP(A20,'Kategorisering af kcal'!$A$2:$E$18,MATCH('Produktion &amp; forbrug'!F20,'Kategorisering af kcal'!$A$1:$E$1,0),FALSE),HLOOKUP(F20,Græsprotein!$C$2:$E$8,7))),'Produktion &amp; forbrug'!AC20)</f>
        <v>1895494.5192748315</v>
      </c>
      <c r="AF20" s="94">
        <f t="shared" si="9"/>
        <v>0</v>
      </c>
      <c r="AG20">
        <f>IF(AC20&lt;0,AD20,G20*E20*10000*VLOOKUP(A20,[1]kcal!$A$2:$C$49,3,FALSE)/1000000000000*IFERROR(VLOOKUP(A20,'Kategorisering af kcal'!$A$2:$E$18,MATCH('Produktion &amp; forbrug'!F20,'Kategorisering af kcal'!$A$1:$E$1,0),FALSE),0))</f>
        <v>0</v>
      </c>
    </row>
    <row r="21" spans="1:33" x14ac:dyDescent="0.25">
      <c r="A21" s="171" t="s">
        <v>162</v>
      </c>
      <c r="B21" s="171" t="s">
        <v>229</v>
      </c>
      <c r="C21" s="171" t="str">
        <f>IFERROR(VLOOKUP(A21,'Kategorisering af kcal'!$A$2:$B$18,2,FALSE),"")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AC21*E21*10000*VLOOKUP(A21,[1]kcal!$A$2:$C$49,3,FALSE)/1000000000000*IFERROR(VLOOKUP(A21,'Kategorisering af kcal'!$A$2:$E$18,MATCH('Produktion &amp; forbrug'!F21,'Kategorisering af kcal'!$A$1:$E$1,0),FALSE),0)</f>
        <v>0</v>
      </c>
      <c r="AE21">
        <f>IF(C21&lt;&gt;"",AC21*(1-IF(A21&lt;&gt;"Græs",VLOOKUP(A21,'Kategorisering af kcal'!$A$2:$E$18,MATCH('Produktion &amp; forbrug'!F21,'Kategorisering af kcal'!$A$1:$E$1,0),FALSE),HLOOKUP(F21,Græsprotein!$C$2:$E$8,7))),'Produktion &amp; forbrug'!AC21)</f>
        <v>982731</v>
      </c>
      <c r="AF21" s="94">
        <f t="shared" si="9"/>
        <v>0</v>
      </c>
      <c r="AG21">
        <f>IF(AC21&lt;0,AD21,G21*E21*10000*VLOOKUP(A21,[1]kcal!$A$2:$C$49,3,FALSE)/1000000000000*IFERROR(VLOOKUP(A21,'Kategorisering af kcal'!$A$2:$E$18,MATCH('Produktion &amp; forbrug'!F21,'Kategorisering af kcal'!$A$1:$E$1,0),FALSE),0))</f>
        <v>0</v>
      </c>
    </row>
    <row r="22" spans="1:33" x14ac:dyDescent="0.25">
      <c r="A22" t="s">
        <v>159</v>
      </c>
      <c r="B22" s="171"/>
      <c r="C22" s="171" t="str">
        <f>IFERROR(VLOOKUP(A22,'Kategorisering af kcal'!$A$2:$B$18,2,FALSE),"")</f>
        <v>Import af foder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AC22*E22*10000*VLOOKUP(A22,[1]kcal!$A$2:$C$49,3,FALSE)/1000000000000*IFERROR(VLOOKUP(A22,'Kategorisering af kcal'!$A$2:$E$18,MATCH('Produktion &amp; forbrug'!F22,'Kategorisering af kcal'!$A$1:$E$1,0),FALSE),0)</f>
        <v>-3.0900123313187238</v>
      </c>
      <c r="AE22">
        <f>IF(C22&lt;&gt;"",AC22*(1-IF(A22&lt;&gt;"Græs",VLOOKUP(A22,'Kategorisering af kcal'!$A$2:$E$18,MATCH('Produktion &amp; forbrug'!F22,'Kategorisering af kcal'!$A$1:$E$1,0),FALSE),HLOOKUP(F22,Græsprotein!$C$2:$E$8,7))),'Produktion &amp; forbrug'!AC22)</f>
        <v>0</v>
      </c>
      <c r="AF22" s="94">
        <f t="shared" si="9"/>
        <v>-5421074.2654714445</v>
      </c>
      <c r="AG22">
        <f>IF(AC22&lt;0,AD22,G22*E22*10000*VLOOKUP(A22,[1]kcal!$A$2:$C$49,3,FALSE)/1000000000000*IFERROR(VLOOKUP(A22,'Kategorisering af kcal'!$A$2:$E$18,MATCH('Produktion &amp; forbrug'!F22,'Kategorisering af kcal'!$A$1:$E$1,0),FALSE),0))</f>
        <v>-3.0900123313187238</v>
      </c>
    </row>
    <row r="23" spans="1:33" x14ac:dyDescent="0.25">
      <c r="A23" s="171" t="s">
        <v>103</v>
      </c>
      <c r="B23" s="171" t="s">
        <v>229</v>
      </c>
      <c r="C23" s="171" t="str">
        <f>IFERROR(VLOOKUP(A23,'Kategorisering af kcal'!$A$2:$B$18,2,FALSE),"")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AC23*E23*10000*VLOOKUP(A23,[1]kcal!$A$2:$C$49,3,FALSE)/1000000000000*IFERROR(VLOOKUP(A23,'Kategorisering af kcal'!$A$2:$E$18,MATCH('Produktion &amp; forbrug'!F23,'Kategorisering af kcal'!$A$1:$E$1,0),FALSE),0)</f>
        <v>0</v>
      </c>
      <c r="AE23">
        <f>IF(C23&lt;&gt;"",AC23*(1-IF(A23&lt;&gt;"Græs",VLOOKUP(A23,'Kategorisering af kcal'!$A$2:$E$18,MATCH('Produktion &amp; forbrug'!F23,'Kategorisering af kcal'!$A$1:$E$1,0),FALSE),HLOOKUP(F23,Græsprotein!$C$2:$E$8,7))),'Produktion &amp; forbrug'!AC23)</f>
        <v>-282332.03034110228</v>
      </c>
      <c r="AF23" s="94">
        <f t="shared" si="9"/>
        <v>0</v>
      </c>
      <c r="AG23">
        <f>IF(AC23&lt;0,AD23,G23*E23*10000*VLOOKUP(A23,[1]kcal!$A$2:$C$49,3,FALSE)/1000000000000*IFERROR(VLOOKUP(A23,'Kategorisering af kcal'!$A$2:$E$18,MATCH('Produktion &amp; forbrug'!F23,'Kategorisering af kcal'!$A$1:$E$1,0),FALSE),0))</f>
        <v>0</v>
      </c>
    </row>
    <row r="24" spans="1:33" x14ac:dyDescent="0.25">
      <c r="A24" s="171" t="s">
        <v>56</v>
      </c>
      <c r="B24" s="171"/>
      <c r="C24" s="171" t="str">
        <f>IFERROR(VLOOKUP(A24,'Kategorisering af kcal'!$A$2:$B$18,2,FALSE),"")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AC24*E24*10000*VLOOKUP(A24,[1]kcal!$A$2:$C$49,3,FALSE)/1000000000000*IFERROR(VLOOKUP(A24,'Kategorisering af kcal'!$A$2:$E$18,MATCH('Produktion &amp; forbrug'!F24,'Kategorisering af kcal'!$A$1:$E$1,0),FALSE),0)</f>
        <v>0</v>
      </c>
      <c r="AE24">
        <f>IF(C24&lt;&gt;"",AC24*(1-IF(A24&lt;&gt;"Græs",VLOOKUP(A24,'Kategorisering af kcal'!$A$2:$E$18,MATCH('Produktion &amp; forbrug'!F24,'Kategorisering af kcal'!$A$1:$E$1,0),FALSE),HLOOKUP(F24,Græsprotein!$C$2:$E$8,7))),'Produktion &amp; forbrug'!AC24)</f>
        <v>912099.45136908058</v>
      </c>
      <c r="AF24" s="94">
        <f t="shared" si="9"/>
        <v>0</v>
      </c>
      <c r="AG24">
        <f>IF(AC24&lt;0,AD24,G24*E24*10000*VLOOKUP(A24,[1]kcal!$A$2:$C$49,3,FALSE)/1000000000000*IFERROR(VLOOKUP(A24,'Kategorisering af kcal'!$A$2:$E$18,MATCH('Produktion &amp; forbrug'!F24,'Kategorisering af kcal'!$A$1:$E$1,0),FALSE),0))</f>
        <v>0</v>
      </c>
    </row>
    <row r="25" spans="1:33" x14ac:dyDescent="0.25">
      <c r="A25" s="171" t="s">
        <v>12</v>
      </c>
      <c r="B25" s="171"/>
      <c r="C25" s="171" t="str">
        <f>IFERROR(VLOOKUP(A25,'Kategorisering af kcal'!$A$2:$B$18,2,FALSE),"")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119523.03367046962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2143653.1237064754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AC25*E25*10000*VLOOKUP(A25,[1]kcal!$A$2:$C$49,3,FALSE)/1000000000000*IFERROR(VLOOKUP(A25,'Kategorisering af kcal'!$A$2:$E$18,MATCH('Produktion &amp; forbrug'!F25,'Kategorisering af kcal'!$A$1:$E$1,0),FALSE),0)</f>
        <v>1.765277402754017</v>
      </c>
      <c r="AE25">
        <f>IF(C25&lt;&gt;"",AC25*(1-IF(A25&lt;&gt;"Græs",VLOOKUP(A25,'Kategorisering af kcal'!$A$2:$E$18,MATCH('Produktion &amp; forbrug'!F25,'Kategorisering af kcal'!$A$1:$E$1,0),FALSE),HLOOKUP(F25,Græsprotein!$C$2:$E$8,7))),'Produktion &amp; forbrug'!AC25)</f>
        <v>0</v>
      </c>
      <c r="AF25" s="94">
        <f t="shared" si="9"/>
        <v>2263176.157376945</v>
      </c>
      <c r="AG25">
        <f>IF(AC25&lt;0,AD25,G25*E25*10000*VLOOKUP(A25,[1]kcal!$A$2:$C$49,3,FALSE)/1000000000000*IFERROR(VLOOKUP(A25,'Kategorisering af kcal'!$A$2:$E$18,MATCH('Produktion &amp; forbrug'!F25,'Kategorisering af kcal'!$A$1:$E$1,0),FALSE),0))</f>
        <v>1.765277402754017</v>
      </c>
    </row>
    <row r="26" spans="1:33" x14ac:dyDescent="0.25">
      <c r="A26" s="171" t="s">
        <v>48</v>
      </c>
      <c r="B26" s="171" t="s">
        <v>226</v>
      </c>
      <c r="C26" s="171" t="str">
        <f>IFERROR(VLOOKUP(A26,'Kategorisering af kcal'!$A$2:$B$18,2,FALSE),"")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286329.90483694919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2221133.134620294</v>
      </c>
      <c r="P26" s="94">
        <f t="shared" si="4"/>
        <v>2221133.134620294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7.6070700274356611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688551.27173229109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AC26*E26*10000*VLOOKUP(A26,[1]kcal!$A$2:$C$49,3,FALSE)/1000000000000*IFERROR(VLOOKUP(A26,'Kategorisering af kcal'!$A$2:$E$18,MATCH('Produktion &amp; forbrug'!F26,'Kategorisering af kcal'!$A$1:$E$1,0),FALSE),0)</f>
        <v>5.8276923337790398</v>
      </c>
      <c r="AE26">
        <f>IF(C26&lt;&gt;"",AC26*(1-IF(A26&lt;&gt;"Græs",VLOOKUP(A26,'Kategorisering af kcal'!$A$2:$E$18,MATCH('Produktion &amp; forbrug'!F26,'Kategorisering af kcal'!$A$1:$E$1,0),FALSE),HLOOKUP(F26,Græsprotein!$C$2:$E$8,7))),'Produktion &amp; forbrug'!AC26)</f>
        <v>0</v>
      </c>
      <c r="AF26" s="94">
        <f t="shared" si="9"/>
        <v>2507463.0394572429</v>
      </c>
      <c r="AG26">
        <f>IF(AC26&lt;0,AD26,G26*E26*10000*VLOOKUP(A26,[1]kcal!$A$2:$C$49,3,FALSE)/1000000000000*IFERROR(VLOOKUP(A26,'Kategorisering af kcal'!$A$2:$E$18,MATCH('Produktion &amp; forbrug'!F26,'Kategorisering af kcal'!$A$1:$E$1,0),FALSE),0))</f>
        <v>21.177752976718288</v>
      </c>
    </row>
    <row r="27" spans="1:33" x14ac:dyDescent="0.25">
      <c r="A27" s="171" t="s">
        <v>115</v>
      </c>
      <c r="B27" s="171"/>
      <c r="C27" s="171" t="str">
        <f>IFERROR(VLOOKUP(A27,'Kategorisering af kcal'!$A$2:$B$18,2,FALSE),"")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AC27*E27*10000*VLOOKUP(A27,[1]kcal!$A$2:$C$49,3,FALSE)/1000000000000*IFERROR(VLOOKUP(A27,'Kategorisering af kcal'!$A$2:$E$18,MATCH('Produktion &amp; forbrug'!F27,'Kategorisering af kcal'!$A$1:$E$1,0),FALSE),0)</f>
        <v>0</v>
      </c>
      <c r="AE27">
        <f ca="1">IF(C27&lt;&gt;"",AC27*(1-IF(A27&lt;&gt;"Græs",VLOOKUP(A27,'Kategorisering af kcal'!$A$2:$E$18,MATCH('Produktion &amp; forbrug'!F27,'Kategorisering af kcal'!$A$1:$E$1,0),FALSE),HLOOKUP(F27,Græsprotein!$C$2:$E$8,7))),'Produktion &amp; forbrug'!AC27)</f>
        <v>-944817.29105430027</v>
      </c>
      <c r="AF27" s="94">
        <f t="shared" ca="1" si="9"/>
        <v>0</v>
      </c>
      <c r="AG27">
        <f ca="1">IF(AC27&lt;0,AD27,G27*E27*10000*VLOOKUP(A27,[1]kcal!$A$2:$C$49,3,FALSE)/1000000000000*IFERROR(VLOOKUP(A27,'Kategorisering af kcal'!$A$2:$E$18,MATCH('Produktion &amp; forbrug'!F27,'Kategorisering af kcal'!$A$1:$E$1,0),FALSE),0))</f>
        <v>0</v>
      </c>
    </row>
    <row r="28" spans="1:33" x14ac:dyDescent="0.25">
      <c r="A28" s="171" t="s">
        <v>136</v>
      </c>
      <c r="B28" s="171" t="s">
        <v>221</v>
      </c>
      <c r="C28" s="171" t="str">
        <f>IFERROR(VLOOKUP(A28,'Kategorisering af kcal'!$A$2:$B$18,2,FALSE),"")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AC28*E28*10000*VLOOKUP(A28,[1]kcal!$A$2:$C$49,3,FALSE)/1000000000000*IFERROR(VLOOKUP(A28,'Kategorisering af kcal'!$A$2:$E$18,MATCH('Produktion &amp; forbrug'!F28,'Kategorisering af kcal'!$A$1:$E$1,0),FALSE),0)</f>
        <v>0</v>
      </c>
      <c r="AE28">
        <f>IF(C28&lt;&gt;"",AC28*(1-IF(A28&lt;&gt;"Græs",VLOOKUP(A28,'Kategorisering af kcal'!$A$2:$E$18,MATCH('Produktion &amp; forbrug'!F28,'Kategorisering af kcal'!$A$1:$E$1,0),FALSE),HLOOKUP(F28,Græsprotein!$C$2:$E$8,7))),'Produktion &amp; forbrug'!AC28)</f>
        <v>0</v>
      </c>
      <c r="AF28" s="94">
        <f t="shared" si="9"/>
        <v>0</v>
      </c>
      <c r="AG28">
        <f>IF(AC28&lt;0,AD28,G28*E28*10000*VLOOKUP(A28,[1]kcal!$A$2:$C$49,3,FALSE)/1000000000000*IFERROR(VLOOKUP(A28,'Kategorisering af kcal'!$A$2:$E$18,MATCH('Produktion &amp; forbrug'!F28,'Kategorisering af kcal'!$A$1:$E$1,0),FALSE),0))</f>
        <v>0</v>
      </c>
    </row>
    <row r="29" spans="1:33" x14ac:dyDescent="0.25">
      <c r="A29" s="171" t="s">
        <v>108</v>
      </c>
      <c r="B29" s="171"/>
      <c r="C29" s="171" t="str">
        <f>IFERROR(VLOOKUP(A29,'Kategorisering af kcal'!$A$2:$B$18,2,FALSE),"")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AC29*E29*10000*VLOOKUP(A29,[1]kcal!$A$2:$C$49,3,FALSE)/1000000000000*IFERROR(VLOOKUP(A29,'Kategorisering af kcal'!$A$2:$E$18,MATCH('Produktion &amp; forbrug'!F29,'Kategorisering af kcal'!$A$1:$E$1,0),FALSE),0)</f>
        <v>0</v>
      </c>
      <c r="AE29">
        <f>IF(C29&lt;&gt;"",AC29*(1-IF(A29&lt;&gt;"Græs",VLOOKUP(A29,'Kategorisering af kcal'!$A$2:$E$18,MATCH('Produktion &amp; forbrug'!F29,'Kategorisering af kcal'!$A$1:$E$1,0),FALSE),HLOOKUP(F29,Græsprotein!$C$2:$E$8,7))),'Produktion &amp; forbrug'!AC29)</f>
        <v>51892.132620096207</v>
      </c>
      <c r="AF29" s="94">
        <f t="shared" si="9"/>
        <v>0</v>
      </c>
      <c r="AG29">
        <f>IF(AC29&lt;0,AD29,G29*E29*10000*VLOOKUP(A29,[1]kcal!$A$2:$C$49,3,FALSE)/1000000000000*IFERROR(VLOOKUP(A29,'Kategorisering af kcal'!$A$2:$E$18,MATCH('Produktion &amp; forbrug'!F29,'Kategorisering af kcal'!$A$1:$E$1,0),FALSE),0))</f>
        <v>0</v>
      </c>
    </row>
    <row r="30" spans="1:33" x14ac:dyDescent="0.25">
      <c r="A30" t="s">
        <v>53</v>
      </c>
      <c r="B30" s="171" t="s">
        <v>223</v>
      </c>
      <c r="C30" s="171" t="str">
        <f>IFERROR(VLOOKUP(A30,'Kategorisering af kcal'!$A$2:$B$18,2,FALSE),"")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AC30*E30*10000*VLOOKUP(A30,[1]kcal!$A$2:$C$49,3,FALSE)/1000000000000*IFERROR(VLOOKUP(A30,'Kategorisering af kcal'!$A$2:$E$18,MATCH('Produktion &amp; forbrug'!F30,'Kategorisering af kcal'!$A$1:$E$1,0),FALSE),0)</f>
        <v>1.1597841546559904</v>
      </c>
      <c r="AE30">
        <f>IF(C30&lt;&gt;"",AC30*(1-IF(A30&lt;&gt;"Græs",VLOOKUP(A30,'Kategorisering af kcal'!$A$2:$E$18,MATCH('Produktion &amp; forbrug'!F30,'Kategorisering af kcal'!$A$1:$E$1,0),FALSE),HLOOKUP(F30,Græsprotein!$C$2:$E$8,7))),'Produktion &amp; forbrug'!AC30)</f>
        <v>0</v>
      </c>
      <c r="AF30" s="94">
        <f t="shared" si="9"/>
        <v>1274488.0820395499</v>
      </c>
      <c r="AG30">
        <f>IF(AC30&lt;0,AD30,G30*E30*10000*VLOOKUP(A30,[1]kcal!$A$2:$C$49,3,FALSE)/1000000000000*IFERROR(VLOOKUP(A30,'Kategorisering af kcal'!$A$2:$E$18,MATCH('Produktion &amp; forbrug'!F30,'Kategorisering af kcal'!$A$1:$E$1,0),FALSE),0))</f>
        <v>7.2398882279531094</v>
      </c>
    </row>
    <row r="31" spans="1:33" x14ac:dyDescent="0.25">
      <c r="A31" s="171" t="s">
        <v>116</v>
      </c>
      <c r="B31" s="171"/>
      <c r="C31" s="171" t="str">
        <f>IFERROR(VLOOKUP(A31,'Kategorisering af kcal'!$A$2:$B$18,2,FALSE),"")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457077.09579476295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2926551.1042052372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AC31*E31*10000*VLOOKUP(A31,[1]kcal!$A$2:$C$49,3,FALSE)/1000000000000*IFERROR(VLOOKUP(A31,'Kategorisering af kcal'!$A$2:$E$18,MATCH('Produktion &amp; forbrug'!F31,'Kategorisering af kcal'!$A$1:$E$1,0),FALSE),0)</f>
        <v>2.1316857659999999</v>
      </c>
      <c r="AE31">
        <f>IF(C31&lt;&gt;"",AC31*(1-IF(A31&lt;&gt;"Græs",VLOOKUP(A31,'Kategorisering af kcal'!$A$2:$E$18,MATCH('Produktion &amp; forbrug'!F31,'Kategorisering af kcal'!$A$1:$E$1,0),FALSE),HLOOKUP(F31,Græsprotein!$C$2:$E$8,7))),'Produktion &amp; forbrug'!AC31)</f>
        <v>0</v>
      </c>
      <c r="AF31" s="94">
        <f t="shared" si="9"/>
        <v>3383628.2</v>
      </c>
      <c r="AG31">
        <f>IF(AC31&lt;0,AD31,G31*E31*10000*VLOOKUP(A31,[1]kcal!$A$2:$C$49,3,FALSE)/1000000000000*IFERROR(VLOOKUP(A31,'Kategorisering af kcal'!$A$2:$E$18,MATCH('Produktion &amp; forbrug'!F31,'Kategorisering af kcal'!$A$1:$E$1,0),FALSE),0))</f>
        <v>2.1316857659999999</v>
      </c>
    </row>
    <row r="32" spans="1:33" x14ac:dyDescent="0.25">
      <c r="A32" s="171" t="s">
        <v>106</v>
      </c>
      <c r="B32" s="171" t="s">
        <v>225</v>
      </c>
      <c r="C32" s="171" t="str">
        <f>IFERROR(VLOOKUP(A32,'Kategorisering af kcal'!$A$2:$B$18,2,FALSE),"")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AC32*E32*10000*VLOOKUP(A32,[1]kcal!$A$2:$C$49,3,FALSE)/1000000000000*IFERROR(VLOOKUP(A32,'Kategorisering af kcal'!$A$2:$E$18,MATCH('Produktion &amp; forbrug'!F32,'Kategorisering af kcal'!$A$1:$E$1,0),FALSE),0)</f>
        <v>7.3048299999999998E-4</v>
      </c>
      <c r="AE32">
        <f>IF(C32&lt;&gt;"",AC32*(1-IF(A32&lt;&gt;"Græs",VLOOKUP(A32,'Kategorisering af kcal'!$A$2:$E$18,MATCH('Produktion &amp; forbrug'!F32,'Kategorisering af kcal'!$A$1:$E$1,0),FALSE),HLOOKUP(F32,Græsprotein!$C$2:$E$8,7))),'Produktion &amp; forbrug'!AC32)</f>
        <v>0</v>
      </c>
      <c r="AF32" s="94">
        <f t="shared" si="9"/>
        <v>880.09999999999991</v>
      </c>
      <c r="AG32">
        <f>IF(AC32&lt;0,AD32,G32*E32*10000*VLOOKUP(A32,[1]kcal!$A$2:$C$49,3,FALSE)/1000000000000*IFERROR(VLOOKUP(A32,'Kategorisering af kcal'!$A$2:$E$18,MATCH('Produktion &amp; forbrug'!F32,'Kategorisering af kcal'!$A$1:$E$1,0),FALSE),0))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kcal'!$A$2:$B$18,2,FALSE),"")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58080.313724265572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57591.605467653622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AC33*E33*10000*VLOOKUP(A33,[1]kcal!$A$2:$C$49,3,FALSE)/1000000000000*IFERROR(VLOOKUP(A33,'Kategorisering af kcal'!$A$2:$E$18,MATCH('Produktion &amp; forbrug'!F33,'Kategorisering af kcal'!$A$1:$E$1,0),FALSE),0)</f>
        <v>0.22556024242424241</v>
      </c>
      <c r="AE33">
        <f>IF(C33&lt;&gt;"",AC33*(1-IF(A33&lt;&gt;"Græs",VLOOKUP(A33,'Kategorisering af kcal'!$A$2:$E$18,MATCH('Produktion &amp; forbrug'!F33,'Kategorisering af kcal'!$A$1:$E$1,0),FALSE),HLOOKUP(F33,Græsprotein!$C$2:$E$8,7))),'Produktion &amp; forbrug'!AC33)</f>
        <v>0</v>
      </c>
      <c r="AF33" s="94">
        <f t="shared" si="9"/>
        <v>115671.91919191919</v>
      </c>
      <c r="AG33">
        <f>IF(AC33&lt;0,AD33,G33*E33*10000*VLOOKUP(A33,[1]kcal!$A$2:$C$49,3,FALSE)/1000000000000*IFERROR(VLOOKUP(A33,'Kategorisering af kcal'!$A$2:$E$18,MATCH('Produktion &amp; forbrug'!F33,'Kategorisering af kcal'!$A$1:$E$1,0),FALSE),0))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kcal'!$A$2:$B$18,2,FALSE),"")</f>
        <v/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AC34*E34*10000*VLOOKUP(A34,[1]kcal!$A$2:$C$49,3,FALSE)/1000000000000*IFERROR(VLOOKUP(A34,'Kategorisering af kcal'!$A$2:$E$18,MATCH('Produktion &amp; forbrug'!F34,'Kategorisering af kcal'!$A$1:$E$1,0),FALSE),0)</f>
        <v>0</v>
      </c>
      <c r="AE34">
        <f>IF(C34&lt;&gt;"",AC34*(1-IF(A34&lt;&gt;"Græs",VLOOKUP(A34,'Kategorisering af kcal'!$A$2:$E$18,MATCH('Produktion &amp; forbrug'!F34,'Kategorisering af kcal'!$A$1:$E$1,0),FALSE),HLOOKUP(F34,Græsprotein!$C$2:$E$8,7))),'Produktion &amp; forbrug'!AC34)</f>
        <v>2006067.2488276002</v>
      </c>
      <c r="AF34" s="94">
        <f t="shared" si="9"/>
        <v>0</v>
      </c>
      <c r="AG34">
        <f>IF(AC34&lt;0,AD34,G34*E34*10000*VLOOKUP(A34,[1]kcal!$A$2:$C$49,3,FALSE)/1000000000000*IFERROR(VLOOKUP(A34,'Kategorisering af kcal'!$A$2:$E$18,MATCH('Produktion &amp; forbrug'!F34,'Kategorisering af kcal'!$A$1:$E$1,0),FALSE),0))</f>
        <v>0</v>
      </c>
    </row>
    <row r="35" spans="1:34" x14ac:dyDescent="0.25">
      <c r="A35" s="171" t="s">
        <v>95</v>
      </c>
      <c r="B35" s="171" t="s">
        <v>224</v>
      </c>
      <c r="C35" s="171" t="str">
        <f>IFERROR(VLOOKUP(A35,'Kategorisering af kcal'!$A$2:$B$18,2,FALSE),"")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AC35*E35*10000*VLOOKUP(A35,[1]kcal!$A$2:$C$49,3,FALSE)/1000000000000*IFERROR(VLOOKUP(A35,'Kategorisering af kcal'!$A$2:$E$18,MATCH('Produktion &amp; forbrug'!F35,'Kategorisering af kcal'!$A$1:$E$1,0),FALSE),0)</f>
        <v>0</v>
      </c>
      <c r="AE35">
        <f>IF(C35&lt;&gt;"",AC35*(1-IF(A35&lt;&gt;"Græs",VLOOKUP(A35,'Kategorisering af kcal'!$A$2:$E$18,MATCH('Produktion &amp; forbrug'!F35,'Kategorisering af kcal'!$A$1:$E$1,0),FALSE),HLOOKUP(F35,Græsprotein!$C$2:$E$8,7))),'Produktion &amp; forbrug'!AC35)</f>
        <v>209867.13867694439</v>
      </c>
      <c r="AF35" s="94">
        <f t="shared" si="9"/>
        <v>0</v>
      </c>
      <c r="AG35">
        <f>IF(AC35&lt;0,AD35,G35*E35*10000*VLOOKUP(A35,[1]kcal!$A$2:$C$49,3,FALSE)/1000000000000*IFERROR(VLOOKUP(A35,'Kategorisering af kcal'!$A$2:$E$18,MATCH('Produktion &amp; forbrug'!F35,'Kategorisering af kcal'!$A$1:$E$1,0),FALSE),0))</f>
        <v>0</v>
      </c>
    </row>
    <row r="36" spans="1:34" x14ac:dyDescent="0.25">
      <c r="A36" s="171" t="s">
        <v>305</v>
      </c>
      <c r="B36" s="171" t="s">
        <v>311</v>
      </c>
      <c r="C36" s="171" t="str">
        <f>IFERROR(VLOOKUP(A36,'Kategorisering af kcal'!$A$2:$B$18,2,FALSE),"")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10">IF(SUMIFS($O$4:$O$147,$A$4:$A$147,A36,$F$4:$F$147,F36)&lt;0,1,0)</f>
        <v>0</v>
      </c>
      <c r="AA36">
        <f t="shared" ref="AA36:AA67" si="11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AC36*E36*10000*VLOOKUP(A36,[1]kcal!$A$2:$C$49,3,FALSE)/1000000000000*IFERROR(VLOOKUP(A36,'Kategorisering af kcal'!$A$2:$E$18,MATCH('Produktion &amp; forbrug'!F36,'Kategorisering af kcal'!$A$1:$E$1,0),FALSE),0)</f>
        <v>0</v>
      </c>
      <c r="AE36">
        <f>IF(C36&lt;&gt;"",AC36*(1-IF(A36&lt;&gt;"Græs",VLOOKUP(A36,'Kategorisering af kcal'!$A$2:$E$18,MATCH('Produktion &amp; forbrug'!F36,'Kategorisering af kcal'!$A$1:$E$1,0),FALSE),HLOOKUP(F36,Græsprotein!$C$2:$E$8,7))),'Produktion &amp; forbrug'!AC36)</f>
        <v>0</v>
      </c>
      <c r="AF36" s="94">
        <f t="shared" si="9"/>
        <v>0</v>
      </c>
      <c r="AG36">
        <f>IF(AC36&lt;0,AD36,G36*E36*10000*VLOOKUP(A36,[1]kcal!$A$2:$C$49,3,FALSE)/1000000000000*IFERROR(VLOOKUP(A36,'Kategorisering af kcal'!$A$2:$E$18,MATCH('Produktion &amp; forbrug'!F36,'Kategorisering af kcal'!$A$1:$E$1,0),FALSE),0))</f>
        <v>0</v>
      </c>
    </row>
    <row r="37" spans="1:34" x14ac:dyDescent="0.25">
      <c r="A37" s="171" t="s">
        <v>306</v>
      </c>
      <c r="B37" s="171" t="s">
        <v>311</v>
      </c>
      <c r="C37" s="171" t="str">
        <f>IFERROR(VLOOKUP(A37,'Kategorisering af kcal'!$A$2:$B$18,2,FALSE),"")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10"/>
        <v>0</v>
      </c>
      <c r="AA37">
        <f t="shared" si="11"/>
        <v>0</v>
      </c>
      <c r="AC37" s="94">
        <f t="shared" si="8"/>
        <v>0</v>
      </c>
      <c r="AD37">
        <f>AC37*E37*10000*VLOOKUP(A37,[1]kcal!$A$2:$C$49,3,FALSE)/1000000000000*IFERROR(VLOOKUP(A37,'Kategorisering af kcal'!$A$2:$E$18,MATCH('Produktion &amp; forbrug'!F37,'Kategorisering af kcal'!$A$1:$E$1,0),FALSE),0)</f>
        <v>0</v>
      </c>
      <c r="AE37">
        <f>IF(C37&lt;&gt;"",AC37*(1-IF(A37&lt;&gt;"Græs",VLOOKUP(A37,'Kategorisering af kcal'!$A$2:$E$18,MATCH('Produktion &amp; forbrug'!F37,'Kategorisering af kcal'!$A$1:$E$1,0),FALSE),HLOOKUP(F37,Græsprotein!$C$2:$E$8,7))),'Produktion &amp; forbrug'!AC37)</f>
        <v>0</v>
      </c>
      <c r="AF37" s="94">
        <f t="shared" si="9"/>
        <v>0</v>
      </c>
      <c r="AG37">
        <f>IF(AC37&lt;0,AD37,G37*E37*10000*VLOOKUP(A37,[1]kcal!$A$2:$C$49,3,FALSE)/1000000000000*IFERROR(VLOOKUP(A37,'Kategorisering af kcal'!$A$2:$E$18,MATCH('Produktion &amp; forbrug'!F37,'Kategorisering af kcal'!$A$1:$E$1,0),FALSE),0))</f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10"/>
        <v>0</v>
      </c>
      <c r="AA38">
        <f t="shared" si="11"/>
        <v>1</v>
      </c>
      <c r="AC38" s="94">
        <f t="shared" si="8"/>
        <v>5269000</v>
      </c>
      <c r="AD38">
        <f>AC38*E38*10000*VLOOKUP(A38,[1]kcal!$A$2:$C$49,3,FALSE)/1000000000000*IFERROR(VLOOKUP(A38,'Kategorisering af kcal'!$A$2:$E$18,MATCH('Produktion &amp; forbrug'!F38,'Kategorisering af kcal'!$A$1:$E$1,0),FALSE),0)</f>
        <v>0</v>
      </c>
      <c r="AE38">
        <f>IF(C38&lt;&gt;"",AC38*(1-IF(A38&lt;&gt;"Græs",VLOOKUP(A38,'Kategorisering af kcal'!$A$2:$E$18,MATCH('Produktion &amp; forbrug'!F38,'Kategorisering af kcal'!$A$1:$E$1,0),FALSE),HLOOKUP(F38,Græsprotein!$C$2:$E$8,7))),'Produktion &amp; forbrug'!AC38)</f>
        <v>5269000</v>
      </c>
      <c r="AF38" s="94">
        <f t="shared" si="9"/>
        <v>0</v>
      </c>
      <c r="AG38">
        <f>IF(AC38&lt;0,AD38,G38*E38*10000*VLOOKUP(A38,[1]kcal!$A$2:$C$49,3,FALSE)/1000000000000*IFERROR(VLOOKUP(A38,'Kategorisering af kcal'!$A$2:$E$18,MATCH('Produktion &amp; forbrug'!F38,'Kategorisering af kcal'!$A$1:$E$1,0),FALSE),0))</f>
        <v>0</v>
      </c>
    </row>
    <row r="39" spans="1:34" x14ac:dyDescent="0.25">
      <c r="A39" t="s">
        <v>50</v>
      </c>
      <c r="B39" s="171"/>
      <c r="C39" s="171" t="str">
        <f>IFERROR(VLOOKUP(A39,'Kategorisering af kcal'!$A$2:$B$18,2,FALSE),"")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10"/>
        <v>0</v>
      </c>
      <c r="AA39">
        <f t="shared" si="11"/>
        <v>0</v>
      </c>
      <c r="AC39" s="94">
        <f t="shared" si="8"/>
        <v>0</v>
      </c>
      <c r="AD39">
        <f>AC39*E39*10000*VLOOKUP(A39,[1]kcal!$A$2:$C$49,3,FALSE)/1000000000000*IFERROR(VLOOKUP(A39,'Kategorisering af kcal'!$A$2:$E$18,MATCH('Produktion &amp; forbrug'!F39,'Kategorisering af kcal'!$A$1:$E$1,0),FALSE),0)</f>
        <v>0</v>
      </c>
      <c r="AE39">
        <f>IF(C39&lt;&gt;"",AC39*(1-IF(A39&lt;&gt;"Græs",VLOOKUP(A39,'Kategorisering af kcal'!$A$2:$E$18,MATCH('Produktion &amp; forbrug'!F39,'Kategorisering af kcal'!$A$1:$E$1,0),FALSE),HLOOKUP(F39,Græsprotein!$C$2:$E$8,7))),'Produktion &amp; forbrug'!AC39)</f>
        <v>0</v>
      </c>
      <c r="AF39" s="94">
        <f t="shared" si="9"/>
        <v>0</v>
      </c>
      <c r="AG39">
        <f>IF(AC39&lt;0,AD39,G39*E39*10000*VLOOKUP(A39,[1]kcal!$A$2:$C$49,3,FALSE)/1000000000000*IFERROR(VLOOKUP(A39,'Kategorisering af kcal'!$A$2:$E$18,MATCH('Produktion &amp; forbrug'!F39,'Kategorisering af kcal'!$A$1:$E$1,0),FALSE),0))</f>
        <v>0</v>
      </c>
    </row>
    <row r="40" spans="1:34" x14ac:dyDescent="0.25">
      <c r="A40" t="s">
        <v>237</v>
      </c>
      <c r="B40" s="171"/>
      <c r="C40" s="171" t="str">
        <f>IFERROR(VLOOKUP(A40,'Kategorisering af kcal'!$A$2:$B$18,2,FALSE),"")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10"/>
        <v>0</v>
      </c>
      <c r="AA40">
        <f t="shared" si="11"/>
        <v>1</v>
      </c>
      <c r="AC40" s="94">
        <f t="shared" si="8"/>
        <v>98784.738662362768</v>
      </c>
      <c r="AD40">
        <f>AC40*E40*10000*VLOOKUP(A40,[1]kcal!$A$2:$C$49,3,FALSE)/1000000000000*IFERROR(VLOOKUP(A40,'Kategorisering af kcal'!$A$2:$E$18,MATCH('Produktion &amp; forbrug'!F40,'Kategorisering af kcal'!$A$1:$E$1,0),FALSE),0)</f>
        <v>0</v>
      </c>
      <c r="AE40">
        <f>IF(C40&lt;&gt;"",AC40*(1-IF(A40&lt;&gt;"Græs",VLOOKUP(A40,'Kategorisering af kcal'!$A$2:$E$18,MATCH('Produktion &amp; forbrug'!F40,'Kategorisering af kcal'!$A$1:$E$1,0),FALSE),HLOOKUP(F40,Græsprotein!$C$2:$E$8,7))),'Produktion &amp; forbrug'!AC40)</f>
        <v>98784.738662362768</v>
      </c>
      <c r="AF40" s="94">
        <f t="shared" si="9"/>
        <v>0</v>
      </c>
      <c r="AG40">
        <f>IF(AC40&lt;0,AD40,G40*E40*10000*VLOOKUP(A40,[1]kcal!$A$2:$C$49,3,FALSE)/1000000000000*IFERROR(VLOOKUP(A40,'Kategorisering af kcal'!$A$2:$E$18,MATCH('Produktion &amp; forbrug'!F40,'Kategorisering af kcal'!$A$1:$E$1,0),FALSE),0))</f>
        <v>0</v>
      </c>
    </row>
    <row r="41" spans="1:34" x14ac:dyDescent="0.25">
      <c r="A41" t="s">
        <v>230</v>
      </c>
      <c r="B41" s="171" t="s">
        <v>230</v>
      </c>
      <c r="C41" s="171" t="str">
        <f>IFERROR(VLOOKUP(A41,'Kategorisering af kcal'!$A$2:$B$18,2,FALSE),"")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10"/>
        <v>0</v>
      </c>
      <c r="AA41">
        <f t="shared" si="11"/>
        <v>0</v>
      </c>
      <c r="AC41" s="94">
        <f t="shared" si="8"/>
        <v>112873.31802427147</v>
      </c>
      <c r="AD41">
        <f>AC41*E41*10000*VLOOKUP(A41,[1]kcal!$A$2:$C$49,3,FALSE)/1000000000000*IFERROR(VLOOKUP(A41,'Kategorisering af kcal'!$A$2:$E$18,MATCH('Produktion &amp; forbrug'!F41,'Kategorisering af kcal'!$A$1:$E$1,0),FALSE),0)</f>
        <v>0</v>
      </c>
      <c r="AE41">
        <f>IF(C41&lt;&gt;"",AC41*(1-IF(A41&lt;&gt;"Græs",VLOOKUP(A41,'Kategorisering af kcal'!$A$2:$E$18,MATCH('Produktion &amp; forbrug'!F41,'Kategorisering af kcal'!$A$1:$E$1,0),FALSE),HLOOKUP(F41,Græsprotein!$C$2:$E$8,7))),'Produktion &amp; forbrug'!AC41)</f>
        <v>112873.31802427147</v>
      </c>
      <c r="AF41" s="94">
        <f t="shared" si="9"/>
        <v>0</v>
      </c>
      <c r="AG41">
        <f>IF(AC41&lt;0,AD41,G41*E41*10000*VLOOKUP(A41,[1]kcal!$A$2:$C$49,3,FALSE)/1000000000000*IFERROR(VLOOKUP(A41,'Kategorisering af kcal'!$A$2:$E$18,MATCH('Produktion &amp; forbrug'!F41,'Kategorisering af kcal'!$A$1:$E$1,0),FALSE),0))</f>
        <v>0</v>
      </c>
    </row>
    <row r="42" spans="1:34" x14ac:dyDescent="0.25">
      <c r="A42" t="s">
        <v>52</v>
      </c>
      <c r="B42" s="171" t="s">
        <v>223</v>
      </c>
      <c r="C42" s="171" t="str">
        <f>IFERROR(VLOOKUP(A42,'Kategorisering af kcal'!$A$2:$B$18,2,FALSE),"")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10"/>
        <v>0</v>
      </c>
      <c r="AA42">
        <f t="shared" si="11"/>
        <v>1</v>
      </c>
      <c r="AC42" s="94">
        <f t="shared" si="8"/>
        <v>1637775.5474174484</v>
      </c>
      <c r="AD42">
        <f>AC42*E42*10000*VLOOKUP(A42,[1]kcal!$A$2:$C$49,3,FALSE)/1000000000000*IFERROR(VLOOKUP(A42,'Kategorisering af kcal'!$A$2:$E$18,MATCH('Produktion &amp; forbrug'!F42,'Kategorisering af kcal'!$A$1:$E$1,0),FALSE),0)</f>
        <v>0.49133266422523447</v>
      </c>
      <c r="AE42">
        <f>IF(C42&lt;&gt;"",AC42*(1-IF(A42&lt;&gt;"Græs",VLOOKUP(A42,'Kategorisering af kcal'!$A$2:$E$18,MATCH('Produktion &amp; forbrug'!F42,'Kategorisering af kcal'!$A$1:$E$1,0),FALSE),HLOOKUP(F42,Græsprotein!$C$2:$E$8,7))),'Produktion &amp; forbrug'!AC42)</f>
        <v>0</v>
      </c>
      <c r="AF42" s="94">
        <f t="shared" si="9"/>
        <v>1637775.5474174484</v>
      </c>
      <c r="AG42">
        <f>IF(AC42&lt;0,AD42,G42*E42*10000*VLOOKUP(A42,[1]kcal!$A$2:$C$49,3,FALSE)/1000000000000*IFERROR(VLOOKUP(A42,'Kategorisering af kcal'!$A$2:$E$18,MATCH('Produktion &amp; forbrug'!F42,'Kategorisering af kcal'!$A$1:$E$1,0),FALSE),0))</f>
        <v>0.78325021257093119</v>
      </c>
    </row>
    <row r="43" spans="1:34" x14ac:dyDescent="0.25">
      <c r="A43" t="s">
        <v>121</v>
      </c>
      <c r="B43" s="171"/>
      <c r="C43" s="171" t="str">
        <f>IFERROR(VLOOKUP(A43,'Kategorisering af kcal'!$A$2:$B$18,2,FALSE),"")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10"/>
        <v>0</v>
      </c>
      <c r="AA43">
        <f t="shared" si="11"/>
        <v>1</v>
      </c>
      <c r="AC43" s="94">
        <f t="shared" si="8"/>
        <v>217010.36743552322</v>
      </c>
      <c r="AD43">
        <f>AC43*E43*10000*VLOOKUP(A43,[1]kcal!$A$2:$C$49,3,FALSE)/1000000000000*IFERROR(VLOOKUP(A43,'Kategorisering af kcal'!$A$2:$E$18,MATCH('Produktion &amp; forbrug'!F43,'Kategorisering af kcal'!$A$1:$E$1,0),FALSE),0)</f>
        <v>0</v>
      </c>
      <c r="AE43">
        <f>IF(C43&lt;&gt;"",AC43*(1-IF(A43&lt;&gt;"Græs",VLOOKUP(A43,'Kategorisering af kcal'!$A$2:$E$18,MATCH('Produktion &amp; forbrug'!F43,'Kategorisering af kcal'!$A$1:$E$1,0),FALSE),HLOOKUP(F43,Græsprotein!$C$2:$E$8,7))),'Produktion &amp; forbrug'!AC43)</f>
        <v>217010.36743552322</v>
      </c>
      <c r="AF43" s="94">
        <f t="shared" si="9"/>
        <v>0</v>
      </c>
      <c r="AG43">
        <f>IF(AC43&lt;0,AD43,G43*E43*10000*VLOOKUP(A43,[1]kcal!$A$2:$C$49,3,FALSE)/1000000000000*IFERROR(VLOOKUP(A43,'Kategorisering af kcal'!$A$2:$E$18,MATCH('Produktion &amp; forbrug'!F43,'Kategorisering af kcal'!$A$1:$E$1,0),FALSE),0))</f>
        <v>0</v>
      </c>
    </row>
    <row r="44" spans="1:34" x14ac:dyDescent="0.25">
      <c r="A44" t="s">
        <v>107</v>
      </c>
      <c r="B44" s="171"/>
      <c r="C44" s="171" t="str">
        <f>IFERROR(VLOOKUP(A44,'Kategorisering af kcal'!$A$2:$B$18,2,FALSE),"")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10"/>
        <v>0</v>
      </c>
      <c r="AA44">
        <f t="shared" si="11"/>
        <v>1</v>
      </c>
      <c r="AC44" s="94">
        <f t="shared" si="8"/>
        <v>105946.31157195524</v>
      </c>
      <c r="AD44">
        <f>AC44*E44*10000*VLOOKUP(A44,[1]kcal!$A$2:$C$49,3,FALSE)/1000000000000*IFERROR(VLOOKUP(A44,'Kategorisering af kcal'!$A$2:$E$18,MATCH('Produktion &amp; forbrug'!F44,'Kategorisering af kcal'!$A$1:$E$1,0),FALSE),0)</f>
        <v>0</v>
      </c>
      <c r="AE44">
        <f>IF(C44&lt;&gt;"",AC44*(1-IF(A44&lt;&gt;"Græs",VLOOKUP(A44,'Kategorisering af kcal'!$A$2:$E$18,MATCH('Produktion &amp; forbrug'!F44,'Kategorisering af kcal'!$A$1:$E$1,0),FALSE),HLOOKUP(F44,Græsprotein!$C$2:$E$8,7))),'Produktion &amp; forbrug'!AC44)</f>
        <v>105946.31157195524</v>
      </c>
      <c r="AF44" s="94">
        <f t="shared" si="9"/>
        <v>0</v>
      </c>
      <c r="AG44">
        <f>IF(AC44&lt;0,AD44,G44*E44*10000*VLOOKUP(A44,[1]kcal!$A$2:$C$49,3,FALSE)/1000000000000*IFERROR(VLOOKUP(A44,'Kategorisering af kcal'!$A$2:$E$18,MATCH('Produktion &amp; forbrug'!F44,'Kategorisering af kcal'!$A$1:$E$1,0),FALSE),0))</f>
        <v>0</v>
      </c>
    </row>
    <row r="45" spans="1:34" x14ac:dyDescent="0.25">
      <c r="A45" s="171" t="s">
        <v>140</v>
      </c>
      <c r="B45" s="171" t="s">
        <v>229</v>
      </c>
      <c r="C45" s="171" t="str">
        <f>IFERROR(VLOOKUP(A45,'Kategorisering af kcal'!$A$2:$B$18,2,FALSE),"")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10"/>
        <v>0</v>
      </c>
      <c r="AA45">
        <f t="shared" si="11"/>
        <v>1</v>
      </c>
      <c r="AC45" s="94">
        <f t="shared" si="8"/>
        <v>4368323.901678659</v>
      </c>
      <c r="AD45">
        <f>AC45*E45*10000*VLOOKUP(A45,[1]kcal!$A$2:$C$49,3,FALSE)/1000000000000*IFERROR(VLOOKUP(A45,'Kategorisering af kcal'!$A$2:$E$18,MATCH('Produktion &amp; forbrug'!F45,'Kategorisering af kcal'!$A$1:$E$1,0),FALSE),0)</f>
        <v>0</v>
      </c>
      <c r="AE45">
        <f>IF(C45&lt;&gt;"",AC45*(1-IF(A45&lt;&gt;"Græs",VLOOKUP(A45,'Kategorisering af kcal'!$A$2:$E$18,MATCH('Produktion &amp; forbrug'!F45,'Kategorisering af kcal'!$A$1:$E$1,0),FALSE),HLOOKUP(F45,Græsprotein!$C$2:$E$8,7))),'Produktion &amp; forbrug'!AC45)</f>
        <v>4368323.901678659</v>
      </c>
      <c r="AF45" s="94">
        <f t="shared" si="9"/>
        <v>0</v>
      </c>
      <c r="AG45">
        <f>IF(AC45&lt;0,AD45,G45*E45*10000*VLOOKUP(A45,[1]kcal!$A$2:$C$49,3,FALSE)/1000000000000*IFERROR(VLOOKUP(A45,'Kategorisering af kcal'!$A$2:$E$18,MATCH('Produktion &amp; forbrug'!F45,'Kategorisering af kcal'!$A$1:$E$1,0),FALSE),0))</f>
        <v>0</v>
      </c>
    </row>
    <row r="46" spans="1:34" x14ac:dyDescent="0.25">
      <c r="A46" s="171" t="s">
        <v>135</v>
      </c>
      <c r="B46" s="171" t="s">
        <v>221</v>
      </c>
      <c r="C46" s="171" t="str">
        <f>IFERROR(VLOOKUP(A46,'Kategorisering af kcal'!$A$2:$B$18,2,FALSE),"")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10"/>
        <v>0</v>
      </c>
      <c r="AA46">
        <f t="shared" si="11"/>
        <v>0</v>
      </c>
      <c r="AC46" s="94">
        <f t="shared" si="8"/>
        <v>0</v>
      </c>
      <c r="AD46">
        <f>AC46*E46*10000*VLOOKUP(A46,[1]kcal!$A$2:$C$49,3,FALSE)/1000000000000*IFERROR(VLOOKUP(A46,'Kategorisering af kcal'!$A$2:$E$18,MATCH('Produktion &amp; forbrug'!F46,'Kategorisering af kcal'!$A$1:$E$1,0),FALSE),0)</f>
        <v>0</v>
      </c>
      <c r="AE46">
        <f>IF(C46&lt;&gt;"",AC46*(1-IF(A46&lt;&gt;"Græs",VLOOKUP(A46,'Kategorisering af kcal'!$A$2:$E$18,MATCH('Produktion &amp; forbrug'!F46,'Kategorisering af kcal'!$A$1:$E$1,0),FALSE),HLOOKUP(F46,Græsprotein!$C$2:$E$8,7))),'Produktion &amp; forbrug'!AC46)</f>
        <v>0</v>
      </c>
      <c r="AF46" s="94">
        <f t="shared" si="9"/>
        <v>0</v>
      </c>
      <c r="AG46">
        <f>IF(AC46&lt;0,AD46,G46*E46*10000*VLOOKUP(A46,[1]kcal!$A$2:$C$49,3,FALSE)/1000000000000*IFERROR(VLOOKUP(A46,'Kategorisering af kcal'!$A$2:$E$18,MATCH('Produktion &amp; forbrug'!F46,'Kategorisering af kcal'!$A$1:$E$1,0),FALSE),0))</f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117920.63695532705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1483207.0597106135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10"/>
        <v>0</v>
      </c>
      <c r="AA47">
        <f t="shared" si="11"/>
        <v>1</v>
      </c>
      <c r="AC47" s="94">
        <f t="shared" si="8"/>
        <v>1601127.6966659406</v>
      </c>
      <c r="AD47">
        <f>AC47*E47*10000*VLOOKUP(A47,[1]kcal!$A$2:$C$49,3,FALSE)/1000000000000*IFERROR(VLOOKUP(A47,'Kategorisering af kcal'!$A$2:$E$18,MATCH('Produktion &amp; forbrug'!F47,'Kategorisering af kcal'!$A$1:$E$1,0),FALSE),0)</f>
        <v>3.1221990084985847</v>
      </c>
      <c r="AE47">
        <f>IF(C47&lt;&gt;"",AC47*(1-IF(A47&lt;&gt;"Græs",VLOOKUP(A47,'Kategorisering af kcal'!$A$2:$E$18,MATCH('Produktion &amp; forbrug'!F47,'Kategorisering af kcal'!$A$1:$E$1,0),FALSE),HLOOKUP(F47,Græsprotein!$C$2:$E$8,7))),'Produktion &amp; forbrug'!AC47)</f>
        <v>0</v>
      </c>
      <c r="AF47" s="94">
        <f t="shared" si="9"/>
        <v>1601127.6966659406</v>
      </c>
      <c r="AG47">
        <f>IF(AC47&lt;0,AD47,G47*E47*10000*VLOOKUP(A47,[1]kcal!$A$2:$C$49,3,FALSE)/1000000000000*IFERROR(VLOOKUP(A47,'Kategorisering af kcal'!$A$2:$E$18,MATCH('Produktion &amp; forbrug'!F47,'Kategorisering af kcal'!$A$1:$E$1,0),FALSE),0))</f>
        <v>3.1221990084985847</v>
      </c>
      <c r="AH47" s="401"/>
    </row>
    <row r="48" spans="1:34" x14ac:dyDescent="0.25">
      <c r="A48" s="171" t="s">
        <v>99</v>
      </c>
      <c r="B48" s="171" t="s">
        <v>225</v>
      </c>
      <c r="C48" s="171" t="str">
        <f>IFERROR(VLOOKUP(A48,'Kategorisering af kcal'!$A$2:$B$18,2,FALSE),"")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10"/>
        <v>0</v>
      </c>
      <c r="AA48">
        <f t="shared" si="11"/>
        <v>1</v>
      </c>
      <c r="AC48" s="94">
        <f t="shared" si="8"/>
        <v>76.5</v>
      </c>
      <c r="AD48">
        <f>AC48*E48*10000*VLOOKUP(A48,[1]kcal!$A$2:$C$49,3,FALSE)/1000000000000*IFERROR(VLOOKUP(A48,'Kategorisering af kcal'!$A$2:$E$18,MATCH('Produktion &amp; forbrug'!F48,'Kategorisering af kcal'!$A$1:$E$1,0),FALSE),0)</f>
        <v>3.1211999999999999E-5</v>
      </c>
      <c r="AE48">
        <f>IF(C48&lt;&gt;"",AC48*(1-IF(A48&lt;&gt;"Græs",VLOOKUP(A48,'Kategorisering af kcal'!$A$2:$E$18,MATCH('Produktion &amp; forbrug'!F48,'Kategorisering af kcal'!$A$1:$E$1,0),FALSE),HLOOKUP(F48,Græsprotein!$C$2:$E$8,7))),'Produktion &amp; forbrug'!AC48)</f>
        <v>0</v>
      </c>
      <c r="AF48" s="94">
        <f t="shared" si="9"/>
        <v>76.5</v>
      </c>
      <c r="AG48">
        <f>IF(AC48&lt;0,AD48,G48*E48*10000*VLOOKUP(A48,[1]kcal!$A$2:$C$49,3,FALSE)/1000000000000*IFERROR(VLOOKUP(A48,'Kategorisering af kcal'!$A$2:$E$18,MATCH('Produktion &amp; forbrug'!F48,'Kategorisering af kcal'!$A$1:$E$1,0),FALSE),0))</f>
        <v>3.1211999999999999E-5</v>
      </c>
    </row>
    <row r="49" spans="1:33" x14ac:dyDescent="0.25">
      <c r="A49" s="171" t="s">
        <v>104</v>
      </c>
      <c r="B49" s="171"/>
      <c r="C49" s="171" t="str">
        <f>IFERROR(VLOOKUP(A49,'Kategorisering af kcal'!$A$2:$B$18,2,FALSE),"")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10"/>
        <v>0</v>
      </c>
      <c r="AA49">
        <f t="shared" si="11"/>
        <v>0</v>
      </c>
      <c r="AC49" s="94">
        <f t="shared" si="8"/>
        <v>0</v>
      </c>
      <c r="AD49">
        <f>AC49*E49*10000*VLOOKUP(A49,[1]kcal!$A$2:$C$49,3,FALSE)/1000000000000*IFERROR(VLOOKUP(A49,'Kategorisering af kcal'!$A$2:$E$18,MATCH('Produktion &amp; forbrug'!F49,'Kategorisering af kcal'!$A$1:$E$1,0),FALSE),0)</f>
        <v>0</v>
      </c>
      <c r="AE49">
        <f>IF(C49&lt;&gt;"",AC49*(1-IF(A49&lt;&gt;"Græs",VLOOKUP(A49,'Kategorisering af kcal'!$A$2:$E$18,MATCH('Produktion &amp; forbrug'!F49,'Kategorisering af kcal'!$A$1:$E$1,0),FALSE),HLOOKUP(F49,Græsprotein!$C$2:$E$8,7))),'Produktion &amp; forbrug'!AC49)</f>
        <v>0</v>
      </c>
      <c r="AF49" s="94">
        <f t="shared" si="9"/>
        <v>0</v>
      </c>
      <c r="AG49">
        <f>IF(AC49&lt;0,AD49,G49*E49*10000*VLOOKUP(A49,[1]kcal!$A$2:$C$49,3,FALSE)/1000000000000*IFERROR(VLOOKUP(A49,'Kategorisering af kcal'!$A$2:$E$18,MATCH('Produktion &amp; forbrug'!F49,'Kategorisering af kcal'!$A$1:$E$1,0),FALSE),0))</f>
        <v>0</v>
      </c>
    </row>
    <row r="50" spans="1:33" x14ac:dyDescent="0.25">
      <c r="A50" s="171" t="s">
        <v>119</v>
      </c>
      <c r="B50" s="171" t="s">
        <v>224</v>
      </c>
      <c r="C50" s="171" t="str">
        <f>IFERROR(VLOOKUP(A50,'Kategorisering af kcal'!$A$2:$B$18,2,FALSE),"")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10"/>
        <v>0</v>
      </c>
      <c r="AA50">
        <f t="shared" ca="1" si="11"/>
        <v>0</v>
      </c>
      <c r="AC50" s="94">
        <f t="shared" ca="1" si="8"/>
        <v>3010292.0648196544</v>
      </c>
      <c r="AD50">
        <f ca="1">AC50*E50*10000*VLOOKUP(A50,[1]kcal!$A$2:$C$49,3,FALSE)/1000000000000*IFERROR(VLOOKUP(A50,'Kategorisering af kcal'!$A$2:$E$18,MATCH('Produktion &amp; forbrug'!F50,'Kategorisering af kcal'!$A$1:$E$1,0),FALSE),0)</f>
        <v>0</v>
      </c>
      <c r="AE50">
        <f ca="1">IF(C50&lt;&gt;"",AC50*(1-IF(A50&lt;&gt;"Græs",VLOOKUP(A50,'Kategorisering af kcal'!$A$2:$E$18,MATCH('Produktion &amp; forbrug'!F50,'Kategorisering af kcal'!$A$1:$E$1,0),FALSE),HLOOKUP(F50,Græsprotein!$C$2:$E$8,7))),'Produktion &amp; forbrug'!AC50)</f>
        <v>3010292.0648196544</v>
      </c>
      <c r="AF50" s="94">
        <f t="shared" ca="1" si="9"/>
        <v>0</v>
      </c>
      <c r="AG50">
        <f ca="1">IF(AC50&lt;0,AD50,G50*E50*10000*VLOOKUP(A50,[1]kcal!$A$2:$C$49,3,FALSE)/1000000000000*IFERROR(VLOOKUP(A50,'Kategorisering af kcal'!$A$2:$E$18,MATCH('Produktion &amp; forbrug'!F50,'Kategorisering af kcal'!$A$1:$E$1,0),FALSE),0))</f>
        <v>0</v>
      </c>
    </row>
    <row r="51" spans="1:33" x14ac:dyDescent="0.25">
      <c r="A51" s="171" t="s">
        <v>118</v>
      </c>
      <c r="B51" s="171"/>
      <c r="C51" s="171" t="str">
        <f>IFERROR(VLOOKUP(A51,'Kategorisering af kcal'!$A$2:$B$18,2,FALSE),"")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10"/>
        <v>0</v>
      </c>
      <c r="AA51">
        <f t="shared" ca="1" si="11"/>
        <v>0</v>
      </c>
      <c r="AC51" s="94">
        <f t="shared" ca="1" si="8"/>
        <v>0</v>
      </c>
      <c r="AD51">
        <f ca="1">AC51*E51*10000*VLOOKUP(A51,[1]kcal!$A$2:$C$49,3,FALSE)/1000000000000*IFERROR(VLOOKUP(A51,'Kategorisering af kcal'!$A$2:$E$18,MATCH('Produktion &amp; forbrug'!F51,'Kategorisering af kcal'!$A$1:$E$1,0),FALSE),0)</f>
        <v>0</v>
      </c>
      <c r="AE51">
        <f ca="1">IF(C51&lt;&gt;"",AC51*(1-IF(A51&lt;&gt;"Græs",VLOOKUP(A51,'Kategorisering af kcal'!$A$2:$E$18,MATCH('Produktion &amp; forbrug'!F51,'Kategorisering af kcal'!$A$1:$E$1,0),FALSE),HLOOKUP(F51,Græsprotein!$C$2:$E$8,7))),'Produktion &amp; forbrug'!AC51)</f>
        <v>0</v>
      </c>
      <c r="AF51" s="94">
        <f t="shared" ca="1" si="9"/>
        <v>0</v>
      </c>
      <c r="AG51">
        <f ca="1">IF(AC51&lt;0,AD51,G51*E51*10000*VLOOKUP(A51,[1]kcal!$A$2:$C$49,3,FALSE)/1000000000000*IFERROR(VLOOKUP(A51,'Kategorisering af kcal'!$A$2:$E$18,MATCH('Produktion &amp; forbrug'!F51,'Kategorisering af kcal'!$A$1:$E$1,0),FALSE),0))</f>
        <v>0</v>
      </c>
    </row>
    <row r="52" spans="1:33" x14ac:dyDescent="0.25">
      <c r="A52" s="171" t="str">
        <f t="shared" ref="A52:A115" si="12">A4</f>
        <v>Æg</v>
      </c>
      <c r="B52" s="171" t="str">
        <f t="shared" ref="B52:B115" si="13">IF(B4&lt;&gt;"",B4,"")</f>
        <v/>
      </c>
      <c r="C52" s="171" t="str">
        <f>IFERROR(VLOOKUP(A52,'Kategorisering af kcal'!$A$2:$B$18,2,FALSE),"")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4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184967.74193548385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0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184967.74193548385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10"/>
        <v>0</v>
      </c>
      <c r="AA52">
        <f t="shared" si="11"/>
        <v>1</v>
      </c>
      <c r="AC52" s="94">
        <f t="shared" si="8"/>
        <v>184967.74193548385</v>
      </c>
      <c r="AD52">
        <f>AC52*E52*10000*VLOOKUP(A52,[1]kcal!$A$2:$C$49,3,FALSE)/1000000000000*IFERROR(VLOOKUP(A52,'Kategorisering af kcal'!$A$2:$E$18,MATCH('Produktion &amp; forbrug'!F52,'Kategorisering af kcal'!$A$1:$E$1,0),FALSE),0)</f>
        <v>0.25525548387096775</v>
      </c>
      <c r="AE52">
        <f>IF(C52&lt;&gt;"",AC52*(1-IF(A52&lt;&gt;"Græs",VLOOKUP(A52,'Kategorisering af kcal'!$A$2:$E$18,MATCH('Produktion &amp; forbrug'!F52,'Kategorisering af kcal'!$A$1:$E$1,0),FALSE),HLOOKUP(F52,Græsprotein!$C$2:$E$8,7))),'Produktion &amp; forbrug'!AC52)</f>
        <v>0</v>
      </c>
      <c r="AF52" s="94">
        <f t="shared" si="9"/>
        <v>184967.74193548385</v>
      </c>
      <c r="AG52">
        <f>IF(AC52&lt;0,AD52,G52*E52*10000*VLOOKUP(A52,[1]kcal!$A$2:$C$49,3,FALSE)/1000000000000*IFERROR(VLOOKUP(A52,'Kategorisering af kcal'!$A$2:$E$18,MATCH('Produktion &amp; forbrug'!F52,'Kategorisering af kcal'!$A$1:$E$1,0),FALSE),0))</f>
        <v>0.25525548387096775</v>
      </c>
    </row>
    <row r="53" spans="1:33" x14ac:dyDescent="0.25">
      <c r="A53" s="171" t="str">
        <f t="shared" si="12"/>
        <v>Bælgsæd</v>
      </c>
      <c r="B53" s="171" t="str">
        <f t="shared" si="13"/>
        <v/>
      </c>
      <c r="C53" s="171" t="str">
        <f>IFERROR(VLOOKUP(A53,'Kategorisering af kcal'!$A$2:$B$18,2,FALSE),"")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5">E5</f>
        <v>1</v>
      </c>
      <c r="F53" s="171">
        <f t="shared" si="14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711567.98134110344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45358.941062195336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666209.0402789081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10"/>
        <v>0</v>
      </c>
      <c r="AA53">
        <f t="shared" si="11"/>
        <v>1</v>
      </c>
      <c r="AC53" s="94">
        <f t="shared" si="8"/>
        <v>666209.0402789081</v>
      </c>
      <c r="AD53">
        <f>AC53*E53*10000*VLOOKUP(A53,[1]kcal!$A$2:$C$49,3,FALSE)/1000000000000*IFERROR(VLOOKUP(A53,'Kategorisering af kcal'!$A$2:$E$18,MATCH('Produktion &amp; forbrug'!F53,'Kategorisering af kcal'!$A$1:$E$1,0),FALSE),0)</f>
        <v>4.6268217847370163</v>
      </c>
      <c r="AE53">
        <f>IF(C53&lt;&gt;"",AC53*(1-IF(A53&lt;&gt;"Græs",VLOOKUP(A53,'Kategorisering af kcal'!$A$2:$E$18,MATCH('Produktion &amp; forbrug'!F53,'Kategorisering af kcal'!$A$1:$E$1,0),FALSE),HLOOKUP(F53,Græsprotein!$C$2:$E$8,7))),'Produktion &amp; forbrug'!AC53)</f>
        <v>0</v>
      </c>
      <c r="AF53" s="94">
        <f t="shared" si="9"/>
        <v>666209.0402789081</v>
      </c>
      <c r="AG53">
        <f>IF(AC53&lt;0,AD53,G53*E53*10000*VLOOKUP(A53,[1]kcal!$A$2:$C$49,3,FALSE)/1000000000000*IFERROR(VLOOKUP(A53,'Kategorisering af kcal'!$A$2:$E$18,MATCH('Produktion &amp; forbrug'!F53,'Kategorisering af kcal'!$A$1:$E$1,0),FALSE),0))</f>
        <v>4.9418396304139636</v>
      </c>
    </row>
    <row r="54" spans="1:33" x14ac:dyDescent="0.25">
      <c r="A54" s="171" t="str">
        <f t="shared" si="12"/>
        <v>Bioaffald</v>
      </c>
      <c r="B54" s="171" t="str">
        <f t="shared" si="13"/>
        <v>Bionedbrydeligt affald</v>
      </c>
      <c r="C54" s="171" t="str">
        <f>IFERROR(VLOOKUP(A54,'Kategorisering af kcal'!$A$2:$B$18,2,FALSE),"")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5"/>
        <v>0</v>
      </c>
      <c r="F54" s="171">
        <f t="shared" si="14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10"/>
        <v>0</v>
      </c>
      <c r="AA54">
        <f t="shared" ca="1" si="11"/>
        <v>0</v>
      </c>
      <c r="AC54" s="94">
        <f t="shared" ca="1" si="8"/>
        <v>363994.97174274386</v>
      </c>
      <c r="AD54">
        <f ca="1">AC54*E54*10000*VLOOKUP(A54,[1]kcal!$A$2:$C$49,3,FALSE)/1000000000000*IFERROR(VLOOKUP(A54,'Kategorisering af kcal'!$A$2:$E$18,MATCH('Produktion &amp; forbrug'!F54,'Kategorisering af kcal'!$A$1:$E$1,0),FALSE),0)</f>
        <v>0</v>
      </c>
      <c r="AE54">
        <f ca="1">IF(C54&lt;&gt;"",AC54*(1-IF(A54&lt;&gt;"Græs",VLOOKUP(A54,'Kategorisering af kcal'!$A$2:$E$18,MATCH('Produktion &amp; forbrug'!F54,'Kategorisering af kcal'!$A$1:$E$1,0),FALSE),HLOOKUP(F54,Græsprotein!$C$2:$E$8,7))),'Produktion &amp; forbrug'!AC54)</f>
        <v>363994.97174274386</v>
      </c>
      <c r="AF54" s="94">
        <f t="shared" ca="1" si="9"/>
        <v>0</v>
      </c>
      <c r="AG54">
        <f ca="1">IF(AC54&lt;0,AD54,G54*E54*10000*VLOOKUP(A54,[1]kcal!$A$2:$C$49,3,FALSE)/1000000000000*IFERROR(VLOOKUP(A54,'Kategorisering af kcal'!$A$2:$E$18,MATCH('Produktion &amp; forbrug'!F54,'Kategorisering af kcal'!$A$1:$E$1,0),FALSE),0))</f>
        <v>0</v>
      </c>
    </row>
    <row r="55" spans="1:33" x14ac:dyDescent="0.25">
      <c r="A55" s="171" t="str">
        <f t="shared" si="12"/>
        <v>Biogas</v>
      </c>
      <c r="B55" s="171" t="str">
        <f t="shared" si="13"/>
        <v/>
      </c>
      <c r="C55" s="171" t="str">
        <f>IFERROR(VLOOKUP(A55,'Kategorisering af kcal'!$A$2:$B$18,2,FALSE),"")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5"/>
        <v>0</v>
      </c>
      <c r="F55" s="171">
        <f t="shared" si="14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529352441.26527035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529352441.26527035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529352441.26527035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10"/>
        <v>0</v>
      </c>
      <c r="AA55">
        <f t="shared" ca="1" si="11"/>
        <v>0</v>
      </c>
      <c r="AC55" s="94">
        <f t="shared" ca="1" si="8"/>
        <v>529352441.26527035</v>
      </c>
      <c r="AD55">
        <f ca="1">AC55*E55*10000*VLOOKUP(A55,[1]kcal!$A$2:$C$49,3,FALSE)/1000000000000*IFERROR(VLOOKUP(A55,'Kategorisering af kcal'!$A$2:$E$18,MATCH('Produktion &amp; forbrug'!F55,'Kategorisering af kcal'!$A$1:$E$1,0),FALSE),0)</f>
        <v>0</v>
      </c>
      <c r="AE55">
        <f ca="1">IF(C55&lt;&gt;"",AC55*(1-IF(A55&lt;&gt;"Græs",VLOOKUP(A55,'Kategorisering af kcal'!$A$2:$E$18,MATCH('Produktion &amp; forbrug'!F55,'Kategorisering af kcal'!$A$1:$E$1,0),FALSE),HLOOKUP(F55,Græsprotein!$C$2:$E$8,7))),'Produktion &amp; forbrug'!AC55)</f>
        <v>529352441.26527035</v>
      </c>
      <c r="AF55" s="94">
        <f t="shared" ca="1" si="9"/>
        <v>0</v>
      </c>
      <c r="AG55">
        <f ca="1">IF(AC55&lt;0,AD55,G55*E55*10000*VLOOKUP(A55,[1]kcal!$A$2:$C$49,3,FALSE)/1000000000000*IFERROR(VLOOKUP(A55,'Kategorisering af kcal'!$A$2:$E$18,MATCH('Produktion &amp; forbrug'!F55,'Kategorisering af kcal'!$A$1:$E$1,0),FALSE),0))</f>
        <v>0</v>
      </c>
    </row>
    <row r="56" spans="1:33" x14ac:dyDescent="0.25">
      <c r="A56" s="171" t="str">
        <f t="shared" si="12"/>
        <v>Biogasgylle</v>
      </c>
      <c r="B56" s="171" t="str">
        <f t="shared" si="13"/>
        <v/>
      </c>
      <c r="C56" s="171" t="str">
        <f>IFERROR(VLOOKUP(A56,'Kategorisering af kcal'!$A$2:$B$18,2,FALSE),"")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5"/>
        <v>0</v>
      </c>
      <c r="F56" s="171">
        <f t="shared" si="14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29683764.940959971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24782928.313565489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4900836.6273944825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10"/>
        <v>0</v>
      </c>
      <c r="AA56">
        <f t="shared" ca="1" si="11"/>
        <v>1</v>
      </c>
      <c r="AC56" s="94">
        <f t="shared" ca="1" si="8"/>
        <v>4900836.6273944825</v>
      </c>
      <c r="AD56">
        <f ca="1">AC56*E56*10000*VLOOKUP(A56,[1]kcal!$A$2:$C$49,3,FALSE)/1000000000000*IFERROR(VLOOKUP(A56,'Kategorisering af kcal'!$A$2:$E$18,MATCH('Produktion &amp; forbrug'!F56,'Kategorisering af kcal'!$A$1:$E$1,0),FALSE),0)</f>
        <v>0</v>
      </c>
      <c r="AE56">
        <f ca="1">IF(C56&lt;&gt;"",AC56*(1-IF(A56&lt;&gt;"Græs",VLOOKUP(A56,'Kategorisering af kcal'!$A$2:$E$18,MATCH('Produktion &amp; forbrug'!F56,'Kategorisering af kcal'!$A$1:$E$1,0),FALSE),HLOOKUP(F56,Græsprotein!$C$2:$E$8,7))),'Produktion &amp; forbrug'!AC56)</f>
        <v>4900836.6273944825</v>
      </c>
      <c r="AF56" s="94">
        <f t="shared" ca="1" si="9"/>
        <v>0</v>
      </c>
      <c r="AG56">
        <f ca="1">IF(AC56&lt;0,AD56,G56*E56*10000*VLOOKUP(A56,[1]kcal!$A$2:$C$49,3,FALSE)/1000000000000*IFERROR(VLOOKUP(A56,'Kategorisering af kcal'!$A$2:$E$18,MATCH('Produktion &amp; forbrug'!F56,'Kategorisering af kcal'!$A$1:$E$1,0),FALSE),0))</f>
        <v>0</v>
      </c>
    </row>
    <row r="57" spans="1:33" x14ac:dyDescent="0.25">
      <c r="A57" s="171" t="str">
        <f t="shared" si="12"/>
        <v>Brun saft</v>
      </c>
      <c r="B57" s="171" t="str">
        <f t="shared" si="13"/>
        <v>Bionedbrydeligt affald</v>
      </c>
      <c r="C57" s="171" t="str">
        <f>IFERROR(VLOOKUP(A57,'Kategorisering af kcal'!$A$2:$B$18,2,FALSE),"")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5"/>
        <v>0</v>
      </c>
      <c r="F57" s="171">
        <f t="shared" si="14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18854859.577920679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14141144.683440508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4713714.8944801707</v>
      </c>
      <c r="P57" s="94">
        <f t="shared" si="4"/>
        <v>4713714.8944801707</v>
      </c>
      <c r="Q57" s="180">
        <f t="shared" si="5"/>
        <v>14141144.683440508</v>
      </c>
      <c r="R57">
        <f>IFERROR(VLOOKUP(A57,[1]Energiindhold!$A$2:$C$11,3,FALSE),IFERROR(VLOOKUP(A57,[1]Biogasudbytte!$A$2:$B$18,2,FALSE)*[1]Energiindhold!$C$10,0))*P57</f>
        <v>2.6775129793213934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10.710051917285572</v>
      </c>
      <c r="T57">
        <f>IFERROR(VLOOKUP(A57,[1]Biogasudbytte!$A$2:$B$18,2,FALSE)*[1]Energiindhold!$C$10,0)*K57*IFERROR(VLOOKUP(A57,Biogasanlæg!$F$3:$G$8,2,FALSE),1)</f>
        <v>8.0325389379641781</v>
      </c>
      <c r="U57" s="170">
        <f t="shared" si="6"/>
        <v>2.6775129793213939</v>
      </c>
      <c r="V57" s="169">
        <f>P57*IFERROR(VLOOKUP(A57,[1]Tørstofindhold!A$2:B$24,2,FALSE),0)</f>
        <v>201574.41687279931</v>
      </c>
      <c r="W57">
        <f>IF(F57=År1,Q57,SUM(P57,Q57))*IFERROR(VLOOKUP(A57,[1]Tørstofindhold!A$2:B$24,2,FALSE),0)</f>
        <v>806297.66749119712</v>
      </c>
      <c r="X57">
        <f>K57*IFERROR(VLOOKUP(A57,[1]Tørstofindhold!A$2:B$24,2,FALSE),0)</f>
        <v>604723.25061839772</v>
      </c>
      <c r="Y57" s="170">
        <f t="shared" si="7"/>
        <v>201574.4168727994</v>
      </c>
      <c r="Z57">
        <f t="shared" si="10"/>
        <v>0</v>
      </c>
      <c r="AA57">
        <f t="shared" si="11"/>
        <v>1</v>
      </c>
      <c r="AC57" s="94">
        <f t="shared" si="8"/>
        <v>4713714.8944801707</v>
      </c>
      <c r="AD57">
        <f>AC57*E57*10000*VLOOKUP(A57,[1]kcal!$A$2:$C$49,3,FALSE)/1000000000000*IFERROR(VLOOKUP(A57,'Kategorisering af kcal'!$A$2:$E$18,MATCH('Produktion &amp; forbrug'!F57,'Kategorisering af kcal'!$A$1:$E$1,0),FALSE),0)</f>
        <v>0</v>
      </c>
      <c r="AE57">
        <f>IF(C57&lt;&gt;"",AC57*(1-IF(A57&lt;&gt;"Græs",VLOOKUP(A57,'Kategorisering af kcal'!$A$2:$E$18,MATCH('Produktion &amp; forbrug'!F57,'Kategorisering af kcal'!$A$1:$E$1,0),FALSE),HLOOKUP(F57,Græsprotein!$C$2:$E$8,7))),'Produktion &amp; forbrug'!AC57)</f>
        <v>4713714.8944801707</v>
      </c>
      <c r="AF57" s="94">
        <f t="shared" si="9"/>
        <v>0</v>
      </c>
      <c r="AG57">
        <f>IF(AC57&lt;0,AD57,G57*E57*10000*VLOOKUP(A57,[1]kcal!$A$2:$C$49,3,FALSE)/1000000000000*IFERROR(VLOOKUP(A57,'Kategorisering af kcal'!$A$2:$E$18,MATCH('Produktion &amp; forbrug'!F57,'Kategorisering af kcal'!$A$1:$E$1,0),FALSE),0))</f>
        <v>0</v>
      </c>
    </row>
    <row r="58" spans="1:33" x14ac:dyDescent="0.25">
      <c r="A58" s="171" t="str">
        <f t="shared" si="12"/>
        <v>Dybstrøelse</v>
      </c>
      <c r="B58" s="171" t="str">
        <f t="shared" si="13"/>
        <v>Husdyrgødning</v>
      </c>
      <c r="C58" s="171" t="str">
        <f>IFERROR(VLOOKUP(A58,'Kategorisering af kcal'!$A$2:$B$18,2,FALSE),"")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5"/>
        <v>0</v>
      </c>
      <c r="F58" s="171">
        <f t="shared" si="14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2010048.6308862029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1507536.473164652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190236.74542315846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312275.4122983925</v>
      </c>
      <c r="P58" s="94">
        <f t="shared" si="4"/>
        <v>312275.4122983925</v>
      </c>
      <c r="Q58" s="180">
        <f t="shared" si="5"/>
        <v>1507536.473164652</v>
      </c>
      <c r="R58">
        <f>IFERROR(VLOOKUP(A58,[1]Energiindhold!$A$2:$C$11,3,FALSE),IFERROR(VLOOKUP(A58,[1]Biogasudbytte!$A$2:$B$18,2,FALSE)*[1]Energiindhold!$C$10,0))*P58</f>
        <v>0.6726412380907375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3.9198748012873978</v>
      </c>
      <c r="T58">
        <f>IFERROR(VLOOKUP(A58,[1]Biogasudbytte!$A$2:$B$18,2,FALSE)*[1]Energiindhold!$C$10,0)*K58*IFERROR(VLOOKUP(A58,Biogasanlæg!$F$3:$G$8,2,FALSE),1)</f>
        <v>3.2472335631966605</v>
      </c>
      <c r="U58" s="170">
        <f t="shared" si="6"/>
        <v>0.67264123809073739</v>
      </c>
      <c r="V58" s="169">
        <f>P58*IFERROR(VLOOKUP(A58,[1]Tørstofindhold!A$2:B$24,2,FALSE),0)</f>
        <v>93682.623689517743</v>
      </c>
      <c r="W58">
        <f>IF(F58=År1,Q58,SUM(P58,Q58))*IFERROR(VLOOKUP(A58,[1]Tørstofindhold!A$2:B$24,2,FALSE),0)</f>
        <v>545943.56563891331</v>
      </c>
      <c r="X58">
        <f>K58*IFERROR(VLOOKUP(A58,[1]Tørstofindhold!A$2:B$24,2,FALSE),0)</f>
        <v>452260.94194939558</v>
      </c>
      <c r="Y58" s="170">
        <f t="shared" si="7"/>
        <v>93682.623689517728</v>
      </c>
      <c r="Z58">
        <f t="shared" si="10"/>
        <v>0</v>
      </c>
      <c r="AA58">
        <f t="shared" si="11"/>
        <v>1</v>
      </c>
      <c r="AC58" s="94">
        <f t="shared" si="8"/>
        <v>312275.4122983925</v>
      </c>
      <c r="AD58">
        <f>AC58*E58*10000*VLOOKUP(A58,[1]kcal!$A$2:$C$49,3,FALSE)/1000000000000*IFERROR(VLOOKUP(A58,'Kategorisering af kcal'!$A$2:$E$18,MATCH('Produktion &amp; forbrug'!F58,'Kategorisering af kcal'!$A$1:$E$1,0),FALSE),0)</f>
        <v>0</v>
      </c>
      <c r="AE58">
        <f>IF(C58&lt;&gt;"",AC58*(1-IF(A58&lt;&gt;"Græs",VLOOKUP(A58,'Kategorisering af kcal'!$A$2:$E$18,MATCH('Produktion &amp; forbrug'!F58,'Kategorisering af kcal'!$A$1:$E$1,0),FALSE),HLOOKUP(F58,Græsprotein!$C$2:$E$8,7))),'Produktion &amp; forbrug'!AC58)</f>
        <v>312275.4122983925</v>
      </c>
      <c r="AF58" s="94">
        <f t="shared" si="9"/>
        <v>0</v>
      </c>
      <c r="AG58">
        <f>IF(AC58&lt;0,AD58,G58*E58*10000*VLOOKUP(A58,[1]kcal!$A$2:$C$49,3,FALSE)/1000000000000*IFERROR(VLOOKUP(A58,'Kategorisering af kcal'!$A$2:$E$18,MATCH('Produktion &amp; forbrug'!F58,'Kategorisering af kcal'!$A$1:$E$1,0),FALSE),0))</f>
        <v>0</v>
      </c>
    </row>
    <row r="59" spans="1:33" x14ac:dyDescent="0.25">
      <c r="A59" s="171" t="str">
        <f t="shared" si="12"/>
        <v>Fiberfraktion</v>
      </c>
      <c r="B59" s="171" t="str">
        <f t="shared" si="13"/>
        <v>Fiberfraktion</v>
      </c>
      <c r="C59" s="171" t="str">
        <f>IFERROR(VLOOKUP(A59,'Kategorisering af kcal'!$A$2:$B$18,2,FALSE),"")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5"/>
        <v>0</v>
      </c>
      <c r="F59" s="171">
        <f t="shared" si="14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13280196.876325598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2059162.7651662568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11221034.111159341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10"/>
        <v>0</v>
      </c>
      <c r="AA59">
        <f t="shared" si="11"/>
        <v>1</v>
      </c>
      <c r="AC59" s="94">
        <f t="shared" si="8"/>
        <v>11221034.111159341</v>
      </c>
      <c r="AD59">
        <f>AC59*E59*10000*VLOOKUP(A59,[1]kcal!$A$2:$C$49,3,FALSE)/1000000000000*IFERROR(VLOOKUP(A59,'Kategorisering af kcal'!$A$2:$E$18,MATCH('Produktion &amp; forbrug'!F59,'Kategorisering af kcal'!$A$1:$E$1,0),FALSE),0)</f>
        <v>0</v>
      </c>
      <c r="AE59">
        <f>IF(C59&lt;&gt;"",AC59*(1-IF(A59&lt;&gt;"Græs",VLOOKUP(A59,'Kategorisering af kcal'!$A$2:$E$18,MATCH('Produktion &amp; forbrug'!F59,'Kategorisering af kcal'!$A$1:$E$1,0),FALSE),HLOOKUP(F59,Græsprotein!$C$2:$E$8,7))),'Produktion &amp; forbrug'!AC59)</f>
        <v>11221034.111159341</v>
      </c>
      <c r="AF59" s="94">
        <f t="shared" si="9"/>
        <v>0</v>
      </c>
      <c r="AG59">
        <f>IF(AC59&lt;0,AD59,G59*E59*10000*VLOOKUP(A59,[1]kcal!$A$2:$C$49,3,FALSE)/1000000000000*IFERROR(VLOOKUP(A59,'Kategorisering af kcal'!$A$2:$E$18,MATCH('Produktion &amp; forbrug'!F59,'Kategorisering af kcal'!$A$1:$E$1,0),FALSE),0))</f>
        <v>0</v>
      </c>
    </row>
    <row r="60" spans="1:33" x14ac:dyDescent="0.25">
      <c r="A60" s="171" t="str">
        <f t="shared" si="12"/>
        <v>Fjerkrægylle</v>
      </c>
      <c r="B60" s="171" t="str">
        <f t="shared" si="13"/>
        <v>Husdyrgødning</v>
      </c>
      <c r="C60" s="171" t="str">
        <f>IFERROR(VLOOKUP(A60,'Kategorisering af kcal'!$A$2:$B$18,2,FALSE),"")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5"/>
        <v>0</v>
      </c>
      <c r="F60" s="171">
        <f t="shared" si="14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6991.7806451612896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5243.8354838709674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1747.9451612903224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5243.8354838709674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2.4661233897096775E-3</v>
      </c>
      <c r="T60">
        <f>IFERROR(VLOOKUP(A60,[1]Biogasudbytte!$A$2:$B$18,2,FALSE)*[1]Energiindhold!$C$10,0)*K60*IFERROR(VLOOKUP(A60,Biogasanlæg!$F$3:$G$8,2,FALSE),1)</f>
        <v>2.4661233897096775E-3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330.36163548387094</v>
      </c>
      <c r="X60">
        <f>K60*IFERROR(VLOOKUP(A60,[1]Tørstofindhold!A$2:B$24,2,FALSE),0)</f>
        <v>330.36163548387094</v>
      </c>
      <c r="Y60" s="170">
        <f t="shared" si="7"/>
        <v>0</v>
      </c>
      <c r="Z60">
        <f t="shared" si="10"/>
        <v>0</v>
      </c>
      <c r="AA60">
        <f t="shared" si="11"/>
        <v>0</v>
      </c>
      <c r="AC60" s="94">
        <f t="shared" si="8"/>
        <v>0</v>
      </c>
      <c r="AD60">
        <f>AC60*E60*10000*VLOOKUP(A60,[1]kcal!$A$2:$C$49,3,FALSE)/1000000000000*IFERROR(VLOOKUP(A60,'Kategorisering af kcal'!$A$2:$E$18,MATCH('Produktion &amp; forbrug'!F60,'Kategorisering af kcal'!$A$1:$E$1,0),FALSE),0)</f>
        <v>0</v>
      </c>
      <c r="AE60">
        <f>IF(C60&lt;&gt;"",AC60*(1-IF(A60&lt;&gt;"Græs",VLOOKUP(A60,'Kategorisering af kcal'!$A$2:$E$18,MATCH('Produktion &amp; forbrug'!F60,'Kategorisering af kcal'!$A$1:$E$1,0),FALSE),HLOOKUP(F60,Græsprotein!$C$2:$E$8,7))),'Produktion &amp; forbrug'!AC60)</f>
        <v>0</v>
      </c>
      <c r="AF60" s="94">
        <f t="shared" si="9"/>
        <v>0</v>
      </c>
      <c r="AG60">
        <f>IF(AC60&lt;0,AD60,G60*E60*10000*VLOOKUP(A60,[1]kcal!$A$2:$C$49,3,FALSE)/1000000000000*IFERROR(VLOOKUP(A60,'Kategorisering af kcal'!$A$2:$E$18,MATCH('Produktion &amp; forbrug'!F60,'Kategorisering af kcal'!$A$1:$E$1,0),FALSE),0))</f>
        <v>0</v>
      </c>
    </row>
    <row r="61" spans="1:33" x14ac:dyDescent="0.25">
      <c r="A61" s="171" t="str">
        <f t="shared" si="12"/>
        <v>Fjerkrækød</v>
      </c>
      <c r="B61" s="171" t="str">
        <f t="shared" si="13"/>
        <v/>
      </c>
      <c r="C61" s="171" t="str">
        <f>IFERROR(VLOOKUP(A61,'Kategorisering af kcal'!$A$2:$B$18,2,FALSE),"")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5"/>
        <v>1</v>
      </c>
      <c r="F61" s="171">
        <f t="shared" si="14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158635.6599520123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0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158635.6599520123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10"/>
        <v>0</v>
      </c>
      <c r="AA61">
        <f t="shared" si="11"/>
        <v>1</v>
      </c>
      <c r="AC61" s="94">
        <f t="shared" si="8"/>
        <v>158635.6599520123</v>
      </c>
      <c r="AD61">
        <f>AC61*E61*10000*VLOOKUP(A61,[1]kcal!$A$2:$C$49,3,FALSE)/1000000000000*IFERROR(VLOOKUP(A61,'Kategorisering af kcal'!$A$2:$E$18,MATCH('Produktion &amp; forbrug'!F61,'Kategorisering af kcal'!$A$1:$E$1,0),FALSE),0)</f>
        <v>0.24112620312705868</v>
      </c>
      <c r="AE61">
        <f>IF(C61&lt;&gt;"",AC61*(1-IF(A61&lt;&gt;"Græs",VLOOKUP(A61,'Kategorisering af kcal'!$A$2:$E$18,MATCH('Produktion &amp; forbrug'!F61,'Kategorisering af kcal'!$A$1:$E$1,0),FALSE),HLOOKUP(F61,Græsprotein!$C$2:$E$8,7))),'Produktion &amp; forbrug'!AC61)</f>
        <v>0</v>
      </c>
      <c r="AF61" s="94">
        <f t="shared" si="9"/>
        <v>158635.6599520123</v>
      </c>
      <c r="AG61">
        <f>IF(AC61&lt;0,AD61,G61*E61*10000*VLOOKUP(A61,[1]kcal!$A$2:$C$49,3,FALSE)/1000000000000*IFERROR(VLOOKUP(A61,'Kategorisering af kcal'!$A$2:$E$18,MATCH('Produktion &amp; forbrug'!F61,'Kategorisering af kcal'!$A$1:$E$1,0),FALSE),0))</f>
        <v>0.24112620312705868</v>
      </c>
    </row>
    <row r="62" spans="1:33" x14ac:dyDescent="0.25">
      <c r="A62" s="171" t="str">
        <f t="shared" si="12"/>
        <v>Frø</v>
      </c>
      <c r="B62" s="171" t="str">
        <f t="shared" si="13"/>
        <v/>
      </c>
      <c r="C62" s="171" t="str">
        <f>IFERROR(VLOOKUP(A62,'Kategorisering af kcal'!$A$2:$B$18,2,FALSE),"")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5"/>
        <v>0</v>
      </c>
      <c r="F62" s="171">
        <f t="shared" si="14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989487.16104781546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989487.16104781546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10"/>
        <v>0</v>
      </c>
      <c r="AA62">
        <f t="shared" si="11"/>
        <v>1</v>
      </c>
      <c r="AC62" s="94">
        <f t="shared" si="8"/>
        <v>989487.16104781546</v>
      </c>
      <c r="AD62">
        <f>AC62*E62*10000*VLOOKUP(A62,[1]kcal!$A$2:$C$49,3,FALSE)/1000000000000*IFERROR(VLOOKUP(A62,'Kategorisering af kcal'!$A$2:$E$18,MATCH('Produktion &amp; forbrug'!F62,'Kategorisering af kcal'!$A$1:$E$1,0),FALSE),0)</f>
        <v>0</v>
      </c>
      <c r="AE62">
        <f>IF(C62&lt;&gt;"",AC62*(1-IF(A62&lt;&gt;"Græs",VLOOKUP(A62,'Kategorisering af kcal'!$A$2:$E$18,MATCH('Produktion &amp; forbrug'!F62,'Kategorisering af kcal'!$A$1:$E$1,0),FALSE),HLOOKUP(F62,Græsprotein!$C$2:$E$8,7))),'Produktion &amp; forbrug'!AC62)</f>
        <v>989487.16104781546</v>
      </c>
      <c r="AF62" s="94">
        <f t="shared" si="9"/>
        <v>0</v>
      </c>
      <c r="AG62">
        <f>IF(AC62&lt;0,AD62,G62*E62*10000*VLOOKUP(A62,[1]kcal!$A$2:$C$49,3,FALSE)/1000000000000*IFERROR(VLOOKUP(A62,'Kategorisering af kcal'!$A$2:$E$18,MATCH('Produktion &amp; forbrug'!F62,'Kategorisering af kcal'!$A$1:$E$1,0),FALSE),0))</f>
        <v>0</v>
      </c>
    </row>
    <row r="63" spans="1:33" x14ac:dyDescent="0.25">
      <c r="A63" s="171" t="str">
        <f t="shared" si="12"/>
        <v>Frugt</v>
      </c>
      <c r="B63" s="171" t="str">
        <f t="shared" si="13"/>
        <v/>
      </c>
      <c r="C63" s="171" t="str">
        <f>IFERROR(VLOOKUP(A63,'Kategorisering af kcal'!$A$2:$B$18,2,FALSE),"")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5"/>
        <v>1</v>
      </c>
      <c r="F63" s="171">
        <f t="shared" si="14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638614.48161594116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0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638614.48161594116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10"/>
        <v>0</v>
      </c>
      <c r="AA63">
        <f t="shared" si="11"/>
        <v>1</v>
      </c>
      <c r="AC63" s="94">
        <f t="shared" si="8"/>
        <v>638614.48161594116</v>
      </c>
      <c r="AD63">
        <f>AC63*E63*10000*VLOOKUP(A63,[1]kcal!$A$2:$C$49,3,FALSE)/1000000000000*IFERROR(VLOOKUP(A63,'Kategorisering af kcal'!$A$2:$E$18,MATCH('Produktion &amp; forbrug'!F63,'Kategorisering af kcal'!$A$1:$E$1,0),FALSE),0)</f>
        <v>0.33207953044028937</v>
      </c>
      <c r="AE63">
        <f>IF(C63&lt;&gt;"",AC63*(1-IF(A63&lt;&gt;"Græs",VLOOKUP(A63,'Kategorisering af kcal'!$A$2:$E$18,MATCH('Produktion &amp; forbrug'!F63,'Kategorisering af kcal'!$A$1:$E$1,0),FALSE),HLOOKUP(F63,Græsprotein!$C$2:$E$8,7))),'Produktion &amp; forbrug'!AC63)</f>
        <v>0</v>
      </c>
      <c r="AF63" s="94">
        <f t="shared" si="9"/>
        <v>638614.48161594116</v>
      </c>
      <c r="AG63">
        <f>IF(AC63&lt;0,AD63,G63*E63*10000*VLOOKUP(A63,[1]kcal!$A$2:$C$49,3,FALSE)/1000000000000*IFERROR(VLOOKUP(A63,'Kategorisering af kcal'!$A$2:$E$18,MATCH('Produktion &amp; forbrug'!F63,'Kategorisering af kcal'!$A$1:$E$1,0),FALSE),0))</f>
        <v>0.33207953044028937</v>
      </c>
    </row>
    <row r="64" spans="1:33" x14ac:dyDescent="0.25">
      <c r="A64" s="171" t="str">
        <f t="shared" si="12"/>
        <v>Glycerin</v>
      </c>
      <c r="B64" s="171" t="str">
        <f t="shared" si="13"/>
        <v>Glycerin</v>
      </c>
      <c r="C64" s="171" t="str">
        <f>IFERROR(VLOOKUP(A64,'Kategorisering af kcal'!$A$2:$B$18,2,FALSE),"")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5"/>
        <v>0</v>
      </c>
      <c r="F64" s="171">
        <f t="shared" si="14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7"/>
        <v>0</v>
      </c>
      <c r="Z64">
        <f t="shared" si="10"/>
        <v>0</v>
      </c>
      <c r="AA64">
        <f t="shared" si="11"/>
        <v>0</v>
      </c>
      <c r="AC64" s="94">
        <f t="shared" si="8"/>
        <v>0</v>
      </c>
      <c r="AD64">
        <f>AC64*E64*10000*VLOOKUP(A64,[1]kcal!$A$2:$C$49,3,FALSE)/1000000000000*IFERROR(VLOOKUP(A64,'Kategorisering af kcal'!$A$2:$E$18,MATCH('Produktion &amp; forbrug'!F64,'Kategorisering af kcal'!$A$1:$E$1,0),FALSE),0)</f>
        <v>0</v>
      </c>
      <c r="AE64">
        <f>IF(C64&lt;&gt;"",AC64*(1-IF(A64&lt;&gt;"Græs",VLOOKUP(A64,'Kategorisering af kcal'!$A$2:$E$18,MATCH('Produktion &amp; forbrug'!F64,'Kategorisering af kcal'!$A$1:$E$1,0),FALSE),HLOOKUP(F64,Græsprotein!$C$2:$E$8,7))),'Produktion &amp; forbrug'!AC64)</f>
        <v>0</v>
      </c>
      <c r="AF64" s="94">
        <f t="shared" si="9"/>
        <v>0</v>
      </c>
      <c r="AG64">
        <f>IF(AC64&lt;0,AD64,G64*E64*10000*VLOOKUP(A64,[1]kcal!$A$2:$C$49,3,FALSE)/1000000000000*IFERROR(VLOOKUP(A64,'Kategorisering af kcal'!$A$2:$E$18,MATCH('Produktion &amp; forbrug'!F64,'Kategorisering af kcal'!$A$1:$E$1,0),FALSE),0))</f>
        <v>0</v>
      </c>
    </row>
    <row r="65" spans="1:33" x14ac:dyDescent="0.25">
      <c r="A65" s="171" t="str">
        <f t="shared" si="12"/>
        <v>Græs</v>
      </c>
      <c r="B65" s="171" t="str">
        <f t="shared" si="13"/>
        <v>Græs og urter</v>
      </c>
      <c r="C65" s="171" t="str">
        <f>IFERROR(VLOOKUP(A65,'Kategorisering af kcal'!$A$2:$B$18,2,FALSE),"")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5"/>
        <v>1</v>
      </c>
      <c r="F65" s="171">
        <f t="shared" si="14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29802893.251747362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8606229.0812590327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38585437.794175856</v>
      </c>
      <c r="O65" s="179">
        <f t="shared" si="3"/>
        <v>-17388773.623687528</v>
      </c>
      <c r="P65" s="94">
        <f t="shared" si="4"/>
        <v>0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0</v>
      </c>
      <c r="V65" s="169">
        <f>P65*IFERROR(VLOOKUP(A65,[1]Tørstofindhold!A$2:B$24,2,FALSE),0)</f>
        <v>0</v>
      </c>
      <c r="W65">
        <f>IF(F65=År1,Q65,SUM(P65,Q65))*IFERROR(VLOOKUP(A65,[1]Tørstofindhold!A$2:B$24,2,FALSE),0)</f>
        <v>0</v>
      </c>
      <c r="X65">
        <f>K65*IFERROR(VLOOKUP(A65,[1]Tørstofindhold!A$2:B$24,2,FALSE),0)</f>
        <v>0</v>
      </c>
      <c r="Y65" s="170">
        <f t="shared" si="7"/>
        <v>0</v>
      </c>
      <c r="Z65">
        <f t="shared" si="10"/>
        <v>1</v>
      </c>
      <c r="AA65">
        <f t="shared" si="11"/>
        <v>0</v>
      </c>
      <c r="AC65" s="94">
        <f t="shared" si="8"/>
        <v>-17388773.623687528</v>
      </c>
      <c r="AD65">
        <f>AC65*E65*10000*VLOOKUP(A65,[1]kcal!$A$2:$C$49,3,FALSE)/1000000000000*IFERROR(VLOOKUP(A65,'Kategorisering af kcal'!$A$2:$E$18,MATCH('Produktion &amp; forbrug'!F65,'Kategorisering af kcal'!$A$1:$E$1,0),FALSE),0)</f>
        <v>-0.61634921309175683</v>
      </c>
      <c r="AE65">
        <f>IF(C65&lt;&gt;"",AC65*(1-IF(A65&lt;&gt;"Græs",VLOOKUP(A65,'Kategorisering af kcal'!$A$2:$E$18,MATCH('Produktion &amp; forbrug'!F65,'Kategorisering af kcal'!$A$1:$E$1,0),FALSE),HLOOKUP(F65,Græsprotein!$C$2:$E$8,7))),'Produktion &amp; forbrug'!AC65)</f>
        <v>-13960879.181741958</v>
      </c>
      <c r="AF65" s="94">
        <f t="shared" si="9"/>
        <v>-3427894.4419455696</v>
      </c>
      <c r="AG65">
        <f>IF(AC65&lt;0,AD65,G65*E65*10000*VLOOKUP(A65,[1]kcal!$A$2:$C$49,3,FALSE)/1000000000000*IFERROR(VLOOKUP(A65,'Kategorisering af kcal'!$A$2:$E$18,MATCH('Produktion &amp; forbrug'!F65,'Kategorisering af kcal'!$A$1:$E$1,0),FALSE),0))</f>
        <v>-0.61634921309175683</v>
      </c>
    </row>
    <row r="66" spans="1:33" x14ac:dyDescent="0.25">
      <c r="A66" s="171" t="str">
        <f t="shared" si="12"/>
        <v>Græsprotein</v>
      </c>
      <c r="B66" s="171" t="str">
        <f t="shared" si="13"/>
        <v/>
      </c>
      <c r="C66" s="171" t="str">
        <f>IFERROR(VLOOKUP(A66,'Kategorisering af kcal'!$A$2:$B$18,2,FALSE),"")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5"/>
        <v>0</v>
      </c>
      <c r="F66" s="171">
        <f t="shared" si="14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6450381.339929576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6450381.339929576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10"/>
        <v>0</v>
      </c>
      <c r="AA66">
        <f t="shared" si="11"/>
        <v>0</v>
      </c>
      <c r="AC66" s="94">
        <f t="shared" si="8"/>
        <v>0</v>
      </c>
      <c r="AD66">
        <f>AC66*E66*10000*VLOOKUP(A66,[1]kcal!$A$2:$C$49,3,FALSE)/1000000000000*IFERROR(VLOOKUP(A66,'Kategorisering af kcal'!$A$2:$E$18,MATCH('Produktion &amp; forbrug'!F66,'Kategorisering af kcal'!$A$1:$E$1,0),FALSE),0)</f>
        <v>0</v>
      </c>
      <c r="AE66">
        <f>IF(C66&lt;&gt;"",AC66*(1-IF(A66&lt;&gt;"Græs",VLOOKUP(A66,'Kategorisering af kcal'!$A$2:$E$18,MATCH('Produktion &amp; forbrug'!F66,'Kategorisering af kcal'!$A$1:$E$1,0),FALSE),HLOOKUP(F66,Græsprotein!$C$2:$E$8,7))),'Produktion &amp; forbrug'!AC66)</f>
        <v>0</v>
      </c>
      <c r="AF66" s="94">
        <f t="shared" si="9"/>
        <v>0</v>
      </c>
      <c r="AG66">
        <f>IF(AC66&lt;0,AD66,G66*E66*10000*VLOOKUP(A66,[1]kcal!$A$2:$C$49,3,FALSE)/1000000000000*IFERROR(VLOOKUP(A66,'Kategorisering af kcal'!$A$2:$E$18,MATCH('Produktion &amp; forbrug'!F66,'Kategorisering af kcal'!$A$1:$E$1,0),FALSE),0))</f>
        <v>0</v>
      </c>
    </row>
    <row r="67" spans="1:33" x14ac:dyDescent="0.25">
      <c r="A67" s="171" t="str">
        <f t="shared" si="12"/>
        <v>Grøntsager</v>
      </c>
      <c r="B67" s="171" t="str">
        <f t="shared" si="13"/>
        <v/>
      </c>
      <c r="C67" s="171" t="str">
        <f>IFERROR(VLOOKUP(A67,'Kategorisering af kcal'!$A$2:$B$18,2,FALSE),"")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5"/>
        <v>1</v>
      </c>
      <c r="F67" s="171">
        <f t="shared" si="14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416975.9671256108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0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416975.9671256108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10"/>
        <v>0</v>
      </c>
      <c r="AA67">
        <f t="shared" si="11"/>
        <v>1</v>
      </c>
      <c r="AC67" s="94">
        <f t="shared" si="8"/>
        <v>416975.9671256108</v>
      </c>
      <c r="AD67">
        <f>AC67*E67*10000*VLOOKUP(A67,[1]kcal!$A$2:$C$49,3,FALSE)/1000000000000*IFERROR(VLOOKUP(A67,'Kategorisering af kcal'!$A$2:$E$18,MATCH('Produktion &amp; forbrug'!F67,'Kategorisering af kcal'!$A$1:$E$1,0),FALSE),0)</f>
        <v>0.1626206271789882</v>
      </c>
      <c r="AE67">
        <f>IF(C67&lt;&gt;"",AC67*(1-IF(A67&lt;&gt;"Græs",VLOOKUP(A67,'Kategorisering af kcal'!$A$2:$E$18,MATCH('Produktion &amp; forbrug'!F67,'Kategorisering af kcal'!$A$1:$E$1,0),FALSE),HLOOKUP(F67,Græsprotein!$C$2:$E$8,7))),'Produktion &amp; forbrug'!AC67)</f>
        <v>0</v>
      </c>
      <c r="AF67" s="94">
        <f t="shared" si="9"/>
        <v>416975.9671256108</v>
      </c>
      <c r="AG67">
        <f>IF(AC67&lt;0,AD67,G67*E67*10000*VLOOKUP(A67,[1]kcal!$A$2:$C$49,3,FALSE)/1000000000000*IFERROR(VLOOKUP(A67,'Kategorisering af kcal'!$A$2:$E$18,MATCH('Produktion &amp; forbrug'!F67,'Kategorisering af kcal'!$A$1:$E$1,0),FALSE),0))</f>
        <v>0.1626206271789882</v>
      </c>
    </row>
    <row r="68" spans="1:33" x14ac:dyDescent="0.25">
      <c r="A68" s="171" t="str">
        <f t="shared" si="12"/>
        <v>Halm</v>
      </c>
      <c r="B68" s="171" t="str">
        <f t="shared" si="13"/>
        <v>Halm og strå</v>
      </c>
      <c r="C68" s="171" t="str">
        <f>IFERROR(VLOOKUP(A68,'Kategorisering af kcal'!$A$2:$B$18,2,FALSE),"")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5"/>
        <v>0</v>
      </c>
      <c r="F68" s="171">
        <f t="shared" si="14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2888728.8325596154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543677.3074538135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567545.24155318923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1777506.2835526129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1777506.2835526129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18.371960713394262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18.371960713394262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1510880.341019721</v>
      </c>
      <c r="X68">
        <f>K68*IFERROR(VLOOKUP(A68,[1]Tørstofindhold!A$2:B$24,2,FALSE),0)</f>
        <v>0</v>
      </c>
      <c r="Y68" s="170">
        <f t="shared" si="7"/>
        <v>1510880.341019721</v>
      </c>
      <c r="Z68">
        <f t="shared" ref="Z68:Z99" si="16">IF(SUMIFS($O$4:$O$147,$A$4:$A$147,A68,$F$4:$F$147,F68)&lt;0,1,0)</f>
        <v>0</v>
      </c>
      <c r="AA68">
        <f t="shared" ref="AA68:AA99" si="17">IF(SUMIFS($O$4:$O$147,$A$4:$A$147,A68,$F$4:$F$147,F68)&gt;0,1,0)</f>
        <v>0</v>
      </c>
      <c r="AC68" s="94">
        <f t="shared" si="8"/>
        <v>1777506.2835526126</v>
      </c>
      <c r="AD68">
        <f>AC68*E68*10000*VLOOKUP(A68,[1]kcal!$A$2:$C$49,3,FALSE)/1000000000000*IFERROR(VLOOKUP(A68,'Kategorisering af kcal'!$A$2:$E$18,MATCH('Produktion &amp; forbrug'!F68,'Kategorisering af kcal'!$A$1:$E$1,0),FALSE),0)</f>
        <v>0</v>
      </c>
      <c r="AE68">
        <f>IF(C68&lt;&gt;"",AC68*(1-IF(A68&lt;&gt;"Græs",VLOOKUP(A68,'Kategorisering af kcal'!$A$2:$E$18,MATCH('Produktion &amp; forbrug'!F68,'Kategorisering af kcal'!$A$1:$E$1,0),FALSE),HLOOKUP(F68,Græsprotein!$C$2:$E$8,7))),'Produktion &amp; forbrug'!AC68)</f>
        <v>1777506.2835526126</v>
      </c>
      <c r="AF68" s="94">
        <f t="shared" si="9"/>
        <v>0</v>
      </c>
      <c r="AG68">
        <f>IF(AC68&lt;0,AD68,G68*E68*10000*VLOOKUP(A68,[1]kcal!$A$2:$C$49,3,FALSE)/1000000000000*IFERROR(VLOOKUP(A68,'Kategorisering af kcal'!$A$2:$E$18,MATCH('Produktion &amp; forbrug'!F68,'Kategorisering af kcal'!$A$1:$E$1,0),FALSE),0))</f>
        <v>0</v>
      </c>
    </row>
    <row r="69" spans="1:33" x14ac:dyDescent="0.25">
      <c r="A69" s="171" t="str">
        <f t="shared" si="12"/>
        <v>Have/parkaffald</v>
      </c>
      <c r="B69" s="171" t="str">
        <f t="shared" si="13"/>
        <v>Bionedbrydeligt affald</v>
      </c>
      <c r="C69" s="171" t="str">
        <f>IFERROR(VLOOKUP(A69,'Kategorisering af kcal'!$A$2:$B$18,2,FALSE),"")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5"/>
        <v>0</v>
      </c>
      <c r="F69" s="171">
        <f t="shared" si="14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8">G69-SUM(H69:N69)</f>
        <v>0</v>
      </c>
      <c r="P69" s="94">
        <f t="shared" ref="P69:P132" si="19">IF(D69=1,MAX(O69,0),0)</f>
        <v>0</v>
      </c>
      <c r="Q69" s="180">
        <f t="shared" ref="Q69:Q134" si="20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1">S69-T69</f>
        <v>17.545322997702911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0</v>
      </c>
      <c r="Y69" s="170">
        <f t="shared" ref="Y69:Y134" si="22">W69-X69</f>
        <v>294842.7</v>
      </c>
      <c r="Z69">
        <f t="shared" si="16"/>
        <v>0</v>
      </c>
      <c r="AA69">
        <f t="shared" si="17"/>
        <v>0</v>
      </c>
      <c r="AC69" s="94">
        <f t="shared" ref="AC69:AC132" si="23">G69-SUMPRODUCT($H$2:$N$2,H69:N69)</f>
        <v>982809</v>
      </c>
      <c r="AD69">
        <f>AC69*E69*10000*VLOOKUP(A69,[1]kcal!$A$2:$C$49,3,FALSE)/1000000000000*IFERROR(VLOOKUP(A69,'Kategorisering af kcal'!$A$2:$E$18,MATCH('Produktion &amp; forbrug'!F69,'Kategorisering af kcal'!$A$1:$E$1,0),FALSE),0)</f>
        <v>0</v>
      </c>
      <c r="AE69">
        <f>IF(C69&lt;&gt;"",AC69*(1-IF(A69&lt;&gt;"Græs",VLOOKUP(A69,'Kategorisering af kcal'!$A$2:$E$18,MATCH('Produktion &amp; forbrug'!F69,'Kategorisering af kcal'!$A$1:$E$1,0),FALSE),HLOOKUP(F69,Græsprotein!$C$2:$E$8,7))),'Produktion &amp; forbrug'!AC69)</f>
        <v>982809</v>
      </c>
      <c r="AF69" s="94">
        <f t="shared" ref="AF69:AF132" si="24">AC69-AE69</f>
        <v>0</v>
      </c>
      <c r="AG69">
        <f>IF(AC69&lt;0,AD69,G69*E69*10000*VLOOKUP(A69,[1]kcal!$A$2:$C$49,3,FALSE)/1000000000000*IFERROR(VLOOKUP(A69,'Kategorisering af kcal'!$A$2:$E$18,MATCH('Produktion &amp; forbrug'!F69,'Kategorisering af kcal'!$A$1:$E$1,0),FALSE),0))</f>
        <v>0</v>
      </c>
    </row>
    <row r="70" spans="1:33" x14ac:dyDescent="0.25">
      <c r="A70" s="171" t="str">
        <f t="shared" si="12"/>
        <v>Import af foder</v>
      </c>
      <c r="B70" s="171" t="str">
        <f t="shared" si="13"/>
        <v/>
      </c>
      <c r="C70" s="171" t="str">
        <f>IFERROR(VLOOKUP(A70,'Kategorisering af kcal'!$A$2:$B$18,2,FALSE),"")</f>
        <v>Import af foder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5"/>
        <v>1</v>
      </c>
      <c r="F70" s="171">
        <f t="shared" si="14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2190723.0495092547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8"/>
        <v>-2190723.0495092547</v>
      </c>
      <c r="P70" s="94">
        <f t="shared" si="19"/>
        <v>0</v>
      </c>
      <c r="Q70" s="180">
        <f t="shared" si="2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1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2"/>
        <v>0</v>
      </c>
      <c r="Z70">
        <f t="shared" si="16"/>
        <v>1</v>
      </c>
      <c r="AA70">
        <f t="shared" si="17"/>
        <v>0</v>
      </c>
      <c r="AC70" s="94">
        <f t="shared" si="23"/>
        <v>-2190723.0495092547</v>
      </c>
      <c r="AD70">
        <f>AC70*E70*10000*VLOOKUP(A70,[1]kcal!$A$2:$C$49,3,FALSE)/1000000000000*IFERROR(VLOOKUP(A70,'Kategorisering af kcal'!$A$2:$E$18,MATCH('Produktion &amp; forbrug'!F70,'Kategorisering af kcal'!$A$1:$E$1,0),FALSE),0)</f>
        <v>-1.248712138220275</v>
      </c>
      <c r="AE70">
        <f>IF(C70&lt;&gt;"",AC70*(1-IF(A70&lt;&gt;"Græs",VLOOKUP(A70,'Kategorisering af kcal'!$A$2:$E$18,MATCH('Produktion &amp; forbrug'!F70,'Kategorisering af kcal'!$A$1:$E$1,0),FALSE),HLOOKUP(F70,Græsprotein!$C$2:$E$8,7))),'Produktion &amp; forbrug'!AC70)</f>
        <v>0</v>
      </c>
      <c r="AF70" s="94">
        <f t="shared" si="24"/>
        <v>-2190723.0495092547</v>
      </c>
      <c r="AG70">
        <f>IF(AC70&lt;0,AD70,G70*E70*10000*VLOOKUP(A70,[1]kcal!$A$2:$C$49,3,FALSE)/1000000000000*IFERROR(VLOOKUP(A70,'Kategorisering af kcal'!$A$2:$E$18,MATCH('Produktion &amp; forbrug'!F70,'Kategorisering af kcal'!$A$1:$E$1,0),FALSE),0))</f>
        <v>-1.248712138220275</v>
      </c>
    </row>
    <row r="71" spans="1:33" x14ac:dyDescent="0.25">
      <c r="A71" s="171" t="str">
        <f t="shared" si="12"/>
        <v>Industriaffald</v>
      </c>
      <c r="B71" s="171" t="str">
        <f t="shared" si="13"/>
        <v>Bionedbrydeligt affald</v>
      </c>
      <c r="C71" s="171" t="str">
        <f>IFERROR(VLOOKUP(A71,'Kategorisering af kcal'!$A$2:$B$18,2,FALSE),"")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5"/>
        <v>0</v>
      </c>
      <c r="F71" s="171">
        <f t="shared" si="14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612258.98454027576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8"/>
        <v>612258.98454027576</v>
      </c>
      <c r="P71" s="94">
        <f t="shared" si="19"/>
        <v>612258.98454027576</v>
      </c>
      <c r="Q71" s="180">
        <f t="shared" si="20"/>
        <v>0</v>
      </c>
      <c r="R71">
        <f>IFERROR(VLOOKUP(A71,[1]Energiindhold!$A$2:$C$11,3,FALSE),IFERROR(VLOOKUP(A71,[1]Biogasudbytte!$A$2:$B$18,2,FALSE)*[1]Energiindhold!$C$10,0))*P71</f>
        <v>2.6529977736810055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2.6529977736810055</v>
      </c>
      <c r="T71">
        <f>IFERROR(VLOOKUP(A71,[1]Biogasudbytte!$A$2:$B$18,2,FALSE)*[1]Energiindhold!$C$10,0)*K71*IFERROR(VLOOKUP(A71,Biogasanlæg!$F$3:$G$8,2,FALSE),1)</f>
        <v>0</v>
      </c>
      <c r="U71" s="170">
        <f t="shared" si="21"/>
        <v>2.6529977736810055</v>
      </c>
      <c r="V71" s="169">
        <f>P71*IFERROR(VLOOKUP(A71,[1]Tørstofindhold!A$2:B$24,2,FALSE),0)</f>
        <v>257148.77350691581</v>
      </c>
      <c r="W71">
        <f>IF(F71=År1,Q71,SUM(P71,Q71))*IFERROR(VLOOKUP(A71,[1]Tørstofindhold!A$2:B$24,2,FALSE),0)</f>
        <v>257148.77350691581</v>
      </c>
      <c r="X71">
        <f>K71*IFERROR(VLOOKUP(A71,[1]Tørstofindhold!A$2:B$24,2,FALSE),0)</f>
        <v>0</v>
      </c>
      <c r="Y71" s="170">
        <f t="shared" si="22"/>
        <v>257148.77350691581</v>
      </c>
      <c r="Z71">
        <f t="shared" si="16"/>
        <v>0</v>
      </c>
      <c r="AA71">
        <f t="shared" si="17"/>
        <v>1</v>
      </c>
      <c r="AC71" s="94">
        <f t="shared" si="23"/>
        <v>612258.98454027576</v>
      </c>
      <c r="AD71">
        <f>AC71*E71*10000*VLOOKUP(A71,[1]kcal!$A$2:$C$49,3,FALSE)/1000000000000*IFERROR(VLOOKUP(A71,'Kategorisering af kcal'!$A$2:$E$18,MATCH('Produktion &amp; forbrug'!F71,'Kategorisering af kcal'!$A$1:$E$1,0),FALSE),0)</f>
        <v>0</v>
      </c>
      <c r="AE71">
        <f>IF(C71&lt;&gt;"",AC71*(1-IF(A71&lt;&gt;"Græs",VLOOKUP(A71,'Kategorisering af kcal'!$A$2:$E$18,MATCH('Produktion &amp; forbrug'!F71,'Kategorisering af kcal'!$A$1:$E$1,0),FALSE),HLOOKUP(F71,Græsprotein!$C$2:$E$8,7))),'Produktion &amp; forbrug'!AC71)</f>
        <v>612258.98454027576</v>
      </c>
      <c r="AF71" s="94">
        <f t="shared" si="24"/>
        <v>0</v>
      </c>
      <c r="AG71">
        <f>IF(AC71&lt;0,AD71,G71*E71*10000*VLOOKUP(A71,[1]kcal!$A$2:$C$49,3,FALSE)/1000000000000*IFERROR(VLOOKUP(A71,'Kategorisering af kcal'!$A$2:$E$18,MATCH('Produktion &amp; forbrug'!F71,'Kategorisering af kcal'!$A$1:$E$1,0),FALSE),0))</f>
        <v>0</v>
      </c>
    </row>
    <row r="72" spans="1:33" x14ac:dyDescent="0.25">
      <c r="A72" s="171" t="str">
        <f t="shared" si="12"/>
        <v>Juletræer</v>
      </c>
      <c r="B72" s="171" t="str">
        <f t="shared" si="13"/>
        <v/>
      </c>
      <c r="C72" s="171" t="str">
        <f>IFERROR(VLOOKUP(A72,'Kategorisering af kcal'!$A$2:$B$18,2,FALSE),"")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5"/>
        <v>0</v>
      </c>
      <c r="F72" s="171">
        <f t="shared" si="14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887583.7004243203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8"/>
        <v>887583.7004243203</v>
      </c>
      <c r="P72" s="94">
        <f t="shared" si="19"/>
        <v>0</v>
      </c>
      <c r="Q72" s="180">
        <f t="shared" si="2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1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2"/>
        <v>0</v>
      </c>
      <c r="Z72">
        <f t="shared" si="16"/>
        <v>0</v>
      </c>
      <c r="AA72">
        <f t="shared" si="17"/>
        <v>1</v>
      </c>
      <c r="AC72" s="94">
        <f t="shared" si="23"/>
        <v>887583.7004243203</v>
      </c>
      <c r="AD72">
        <f>AC72*E72*10000*VLOOKUP(A72,[1]kcal!$A$2:$C$49,3,FALSE)/1000000000000*IFERROR(VLOOKUP(A72,'Kategorisering af kcal'!$A$2:$E$18,MATCH('Produktion &amp; forbrug'!F72,'Kategorisering af kcal'!$A$1:$E$1,0),FALSE),0)</f>
        <v>0</v>
      </c>
      <c r="AE72">
        <f>IF(C72&lt;&gt;"",AC72*(1-IF(A72&lt;&gt;"Græs",VLOOKUP(A72,'Kategorisering af kcal'!$A$2:$E$18,MATCH('Produktion &amp; forbrug'!F72,'Kategorisering af kcal'!$A$1:$E$1,0),FALSE),HLOOKUP(F72,Græsprotein!$C$2:$E$8,7))),'Produktion &amp; forbrug'!AC72)</f>
        <v>887583.7004243203</v>
      </c>
      <c r="AF72" s="94">
        <f t="shared" si="24"/>
        <v>0</v>
      </c>
      <c r="AG72">
        <f>IF(AC72&lt;0,AD72,G72*E72*10000*VLOOKUP(A72,[1]kcal!$A$2:$C$49,3,FALSE)/1000000000000*IFERROR(VLOOKUP(A72,'Kategorisering af kcal'!$A$2:$E$18,MATCH('Produktion &amp; forbrug'!F72,'Kategorisering af kcal'!$A$1:$E$1,0),FALSE),0))</f>
        <v>0</v>
      </c>
    </row>
    <row r="73" spans="1:33" x14ac:dyDescent="0.25">
      <c r="A73" s="171" t="str">
        <f t="shared" si="12"/>
        <v>Kartofler</v>
      </c>
      <c r="B73" s="171" t="str">
        <f t="shared" si="13"/>
        <v/>
      </c>
      <c r="C73" s="171" t="str">
        <f>IFERROR(VLOOKUP(A73,'Kategorisering af kcal'!$A$2:$B$18,2,FALSE),"")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5"/>
        <v>1</v>
      </c>
      <c r="F73" s="171">
        <f t="shared" si="14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3294694.3063373538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0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8"/>
        <v>3294694.3063373538</v>
      </c>
      <c r="P73" s="94">
        <f t="shared" si="19"/>
        <v>0</v>
      </c>
      <c r="Q73" s="180">
        <f t="shared" si="2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1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2"/>
        <v>0</v>
      </c>
      <c r="Z73">
        <f t="shared" si="16"/>
        <v>0</v>
      </c>
      <c r="AA73">
        <f t="shared" si="17"/>
        <v>1</v>
      </c>
      <c r="AC73" s="94">
        <f t="shared" si="23"/>
        <v>3294694.3063373538</v>
      </c>
      <c r="AD73">
        <f>AC73*E73*10000*VLOOKUP(A73,[1]kcal!$A$2:$C$49,3,FALSE)/1000000000000*IFERROR(VLOOKUP(A73,'Kategorisering af kcal'!$A$2:$E$18,MATCH('Produktion &amp; forbrug'!F73,'Kategorisering af kcal'!$A$1:$E$1,0),FALSE),0)</f>
        <v>2.5698615589431362</v>
      </c>
      <c r="AE73">
        <f>IF(C73&lt;&gt;"",AC73*(1-IF(A73&lt;&gt;"Græs",VLOOKUP(A73,'Kategorisering af kcal'!$A$2:$E$18,MATCH('Produktion &amp; forbrug'!F73,'Kategorisering af kcal'!$A$1:$E$1,0),FALSE),HLOOKUP(F73,Græsprotein!$C$2:$E$8,7))),'Produktion &amp; forbrug'!AC73)</f>
        <v>0</v>
      </c>
      <c r="AF73" s="94">
        <f t="shared" si="24"/>
        <v>3294694.3063373538</v>
      </c>
      <c r="AG73">
        <f>IF(AC73&lt;0,AD73,G73*E73*10000*VLOOKUP(A73,[1]kcal!$A$2:$C$49,3,FALSE)/1000000000000*IFERROR(VLOOKUP(A73,'Kategorisering af kcal'!$A$2:$E$18,MATCH('Produktion &amp; forbrug'!F73,'Kategorisering af kcal'!$A$1:$E$1,0),FALSE),0))</f>
        <v>2.5698615589431362</v>
      </c>
    </row>
    <row r="74" spans="1:33" x14ac:dyDescent="0.25">
      <c r="A74" s="171" t="str">
        <f t="shared" si="12"/>
        <v>Korn</v>
      </c>
      <c r="B74" s="171" t="str">
        <f t="shared" si="13"/>
        <v>Halm og strå</v>
      </c>
      <c r="C74" s="171" t="str">
        <f>IFERROR(VLOOKUP(A74,'Kategorisering af kcal'!$A$2:$B$18,2,FALSE),"")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5"/>
        <v>1</v>
      </c>
      <c r="F74" s="171">
        <f t="shared" si="14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6125005.1879481785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3034307.7967753555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0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8"/>
        <v>3090697.391172823</v>
      </c>
      <c r="P74" s="94">
        <f t="shared" si="19"/>
        <v>3090697.391172823</v>
      </c>
      <c r="Q74" s="180">
        <f t="shared" si="20"/>
        <v>0</v>
      </c>
      <c r="R74">
        <f>IFERROR(VLOOKUP(A74,[1]Energiindhold!$A$2:$C$11,3,FALSE),IFERROR(VLOOKUP(A74,[1]Biogasudbytte!$A$2:$B$18,2,FALSE)*[1]Energiindhold!$C$10,0))*P74</f>
        <v>10.585205867132156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10.585205867132156</v>
      </c>
      <c r="T74">
        <f>IFERROR(VLOOKUP(A74,[1]Biogasudbytte!$A$2:$B$18,2,FALSE)*[1]Energiindhold!$C$10,0)*K74*IFERROR(VLOOKUP(A74,Biogasanlæg!$F$3:$G$8,2,FALSE),1)</f>
        <v>0</v>
      </c>
      <c r="U74" s="170">
        <f t="shared" si="21"/>
        <v>10.585205867132156</v>
      </c>
      <c r="V74" s="169">
        <f>P74*IFERROR(VLOOKUP(A74,[1]Tørstofindhold!A$2:B$24,2,FALSE),0)</f>
        <v>958116.19126357511</v>
      </c>
      <c r="W74">
        <f>IF(F74=År1,Q74,SUM(P74,Q74))*IFERROR(VLOOKUP(A74,[1]Tørstofindhold!A$2:B$24,2,FALSE),0)</f>
        <v>958116.19126357511</v>
      </c>
      <c r="X74">
        <f>K74*IFERROR(VLOOKUP(A74,[1]Tørstofindhold!A$2:B$24,2,FALSE),0)</f>
        <v>0</v>
      </c>
      <c r="Y74" s="170">
        <f t="shared" si="22"/>
        <v>958116.19126357511</v>
      </c>
      <c r="Z74">
        <f t="shared" si="16"/>
        <v>0</v>
      </c>
      <c r="AA74">
        <f t="shared" si="17"/>
        <v>1</v>
      </c>
      <c r="AC74" s="94">
        <f t="shared" si="23"/>
        <v>3090697.391172823</v>
      </c>
      <c r="AD74">
        <f>AC74*E74*10000*VLOOKUP(A74,[1]kcal!$A$2:$C$49,3,FALSE)/1000000000000*IFERROR(VLOOKUP(A74,'Kategorisering af kcal'!$A$2:$E$18,MATCH('Produktion &amp; forbrug'!F74,'Kategorisering af kcal'!$A$1:$E$1,0),FALSE),0)</f>
        <v>7.1832099652673156</v>
      </c>
      <c r="AE74">
        <f>IF(C74&lt;&gt;"",AC74*(1-IF(A74&lt;&gt;"Græs",VLOOKUP(A74,'Kategorisering af kcal'!$A$2:$E$18,MATCH('Produktion &amp; forbrug'!F74,'Kategorisering af kcal'!$A$1:$E$1,0),FALSE),HLOOKUP(F74,Græsprotein!$C$2:$E$8,7))),'Produktion &amp; forbrug'!AC74)</f>
        <v>0</v>
      </c>
      <c r="AF74" s="94">
        <f t="shared" si="24"/>
        <v>3090697.391172823</v>
      </c>
      <c r="AG74">
        <f>IF(AC74&lt;0,AD74,G74*E74*10000*VLOOKUP(A74,[1]kcal!$A$2:$C$49,3,FALSE)/1000000000000*IFERROR(VLOOKUP(A74,'Kategorisering af kcal'!$A$2:$E$18,MATCH('Produktion &amp; forbrug'!F74,'Kategorisering af kcal'!$A$1:$E$1,0),FALSE),0))</f>
        <v>14.235362681911672</v>
      </c>
    </row>
    <row r="75" spans="1:33" x14ac:dyDescent="0.25">
      <c r="A75" s="171" t="str">
        <f t="shared" si="12"/>
        <v>Kunstgødning</v>
      </c>
      <c r="B75" s="171" t="str">
        <f t="shared" si="13"/>
        <v/>
      </c>
      <c r="C75" s="171" t="str">
        <f>IFERROR(VLOOKUP(A75,'Kategorisering af kcal'!$A$2:$B$18,2,FALSE),"")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5"/>
        <v>0</v>
      </c>
      <c r="F75" s="171">
        <f t="shared" si="14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929861.9407340826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8"/>
        <v>-929861.9407340826</v>
      </c>
      <c r="P75" s="94">
        <f t="shared" si="19"/>
        <v>0</v>
      </c>
      <c r="Q75" s="180">
        <f t="shared" si="2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1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2"/>
        <v>0</v>
      </c>
      <c r="Z75">
        <f t="shared" ca="1" si="16"/>
        <v>1</v>
      </c>
      <c r="AA75">
        <f t="shared" ca="1" si="17"/>
        <v>0</v>
      </c>
      <c r="AC75" s="94">
        <f t="shared" ca="1" si="23"/>
        <v>-929861.9407340826</v>
      </c>
      <c r="AD75">
        <f ca="1">AC75*E75*10000*VLOOKUP(A75,[1]kcal!$A$2:$C$49,3,FALSE)/1000000000000*IFERROR(VLOOKUP(A75,'Kategorisering af kcal'!$A$2:$E$18,MATCH('Produktion &amp; forbrug'!F75,'Kategorisering af kcal'!$A$1:$E$1,0),FALSE),0)</f>
        <v>0</v>
      </c>
      <c r="AE75">
        <f ca="1">IF(C75&lt;&gt;"",AC75*(1-IF(A75&lt;&gt;"Græs",VLOOKUP(A75,'Kategorisering af kcal'!$A$2:$E$18,MATCH('Produktion &amp; forbrug'!F75,'Kategorisering af kcal'!$A$1:$E$1,0),FALSE),HLOOKUP(F75,Græsprotein!$C$2:$E$8,7))),'Produktion &amp; forbrug'!AC75)</f>
        <v>-929861.9407340826</v>
      </c>
      <c r="AF75" s="94">
        <f t="shared" ca="1" si="24"/>
        <v>0</v>
      </c>
      <c r="AG75">
        <f ca="1">IF(AC75&lt;0,AD75,G75*E75*10000*VLOOKUP(A75,[1]kcal!$A$2:$C$49,3,FALSE)/1000000000000*IFERROR(VLOOKUP(A75,'Kategorisering af kcal'!$A$2:$E$18,MATCH('Produktion &amp; forbrug'!F75,'Kategorisering af kcal'!$A$1:$E$1,0),FALSE),0))</f>
        <v>0</v>
      </c>
    </row>
    <row r="76" spans="1:33" x14ac:dyDescent="0.25">
      <c r="A76" s="171" t="str">
        <f t="shared" si="12"/>
        <v>Kvæggylle</v>
      </c>
      <c r="B76" s="171" t="str">
        <f t="shared" si="13"/>
        <v>Husdyrgødning</v>
      </c>
      <c r="C76" s="171" t="str">
        <f>IFERROR(VLOOKUP(A76,'Kategorisering af kcal'!$A$2:$B$18,2,FALSE),"")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5"/>
        <v>0</v>
      </c>
      <c r="F76" s="171">
        <f t="shared" si="14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6499414.3955516573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4874560.7966637425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1624853.5988879143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8"/>
        <v>0</v>
      </c>
      <c r="P76" s="94">
        <f t="shared" si="19"/>
        <v>0</v>
      </c>
      <c r="Q76" s="180">
        <f t="shared" si="20"/>
        <v>4874560.7966637425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2.4674539296632201</v>
      </c>
      <c r="T76">
        <f>IFERROR(VLOOKUP(A76,[1]Biogasudbytte!$A$2:$B$18,2,FALSE)*[1]Energiindhold!$C$10,0)*K76*IFERROR(VLOOKUP(A76,Biogasanlæg!$F$3:$G$8,2,FALSE),1)</f>
        <v>2.4674539296632201</v>
      </c>
      <c r="U76" s="170">
        <f t="shared" si="21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370466.62054644444</v>
      </c>
      <c r="X76">
        <f>K76*IFERROR(VLOOKUP(A76,[1]Tørstofindhold!A$2:B$24,2,FALSE),0)</f>
        <v>370466.62054644444</v>
      </c>
      <c r="Y76" s="170">
        <f t="shared" si="22"/>
        <v>0</v>
      </c>
      <c r="Z76">
        <f t="shared" si="16"/>
        <v>0</v>
      </c>
      <c r="AA76">
        <f t="shared" si="17"/>
        <v>0</v>
      </c>
      <c r="AC76" s="94">
        <f t="shared" si="23"/>
        <v>0</v>
      </c>
      <c r="AD76">
        <f>AC76*E76*10000*VLOOKUP(A76,[1]kcal!$A$2:$C$49,3,FALSE)/1000000000000*IFERROR(VLOOKUP(A76,'Kategorisering af kcal'!$A$2:$E$18,MATCH('Produktion &amp; forbrug'!F76,'Kategorisering af kcal'!$A$1:$E$1,0),FALSE),0)</f>
        <v>0</v>
      </c>
      <c r="AE76">
        <f>IF(C76&lt;&gt;"",AC76*(1-IF(A76&lt;&gt;"Græs",VLOOKUP(A76,'Kategorisering af kcal'!$A$2:$E$18,MATCH('Produktion &amp; forbrug'!F76,'Kategorisering af kcal'!$A$1:$E$1,0),FALSE),HLOOKUP(F76,Græsprotein!$C$2:$E$8,7))),'Produktion &amp; forbrug'!AC76)</f>
        <v>0</v>
      </c>
      <c r="AF76" s="94">
        <f t="shared" si="24"/>
        <v>0</v>
      </c>
      <c r="AG76">
        <f>IF(AC76&lt;0,AD76,G76*E76*10000*VLOOKUP(A76,[1]kcal!$A$2:$C$49,3,FALSE)/1000000000000*IFERROR(VLOOKUP(A76,'Kategorisering af kcal'!$A$2:$E$18,MATCH('Produktion &amp; forbrug'!F76,'Kategorisering af kcal'!$A$1:$E$1,0),FALSE),0))</f>
        <v>0</v>
      </c>
    </row>
    <row r="77" spans="1:33" x14ac:dyDescent="0.25">
      <c r="A77" s="171" t="str">
        <f t="shared" si="12"/>
        <v>Mælk til foder</v>
      </c>
      <c r="B77" s="171" t="str">
        <f t="shared" si="13"/>
        <v/>
      </c>
      <c r="C77" s="171" t="str">
        <f>IFERROR(VLOOKUP(A77,'Kategorisering af kcal'!$A$2:$B$18,2,FALSE),"")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5"/>
        <v>0</v>
      </c>
      <c r="F77" s="171">
        <f t="shared" si="14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756843.52817050298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687700.0741687679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8"/>
        <v>69143.454001735081</v>
      </c>
      <c r="P77" s="94">
        <f t="shared" si="19"/>
        <v>0</v>
      </c>
      <c r="Q77" s="180">
        <f t="shared" si="2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1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2"/>
        <v>0</v>
      </c>
      <c r="Z77">
        <f t="shared" si="16"/>
        <v>0</v>
      </c>
      <c r="AA77">
        <f t="shared" si="17"/>
        <v>1</v>
      </c>
      <c r="AC77" s="94">
        <f t="shared" si="23"/>
        <v>69143.454001735081</v>
      </c>
      <c r="AD77">
        <f>AC77*E77*10000*VLOOKUP(A77,[1]kcal!$A$2:$C$49,3,FALSE)/1000000000000*IFERROR(VLOOKUP(A77,'Kategorisering af kcal'!$A$2:$E$18,MATCH('Produktion &amp; forbrug'!F77,'Kategorisering af kcal'!$A$1:$E$1,0),FALSE),0)</f>
        <v>0</v>
      </c>
      <c r="AE77">
        <f>IF(C77&lt;&gt;"",AC77*(1-IF(A77&lt;&gt;"Græs",VLOOKUP(A77,'Kategorisering af kcal'!$A$2:$E$18,MATCH('Produktion &amp; forbrug'!F77,'Kategorisering af kcal'!$A$1:$E$1,0),FALSE),HLOOKUP(F77,Græsprotein!$C$2:$E$8,7))),'Produktion &amp; forbrug'!AC77)</f>
        <v>69143.454001735081</v>
      </c>
      <c r="AF77" s="94">
        <f t="shared" si="24"/>
        <v>0</v>
      </c>
      <c r="AG77">
        <f>IF(AC77&lt;0,AD77,G77*E77*10000*VLOOKUP(A77,[1]kcal!$A$2:$C$49,3,FALSE)/1000000000000*IFERROR(VLOOKUP(A77,'Kategorisering af kcal'!$A$2:$E$18,MATCH('Produktion &amp; forbrug'!F77,'Kategorisering af kcal'!$A$1:$E$1,0),FALSE),0))</f>
        <v>0</v>
      </c>
    </row>
    <row r="78" spans="1:33" x14ac:dyDescent="0.25">
      <c r="A78" s="171" t="str">
        <f t="shared" si="12"/>
        <v>Majs</v>
      </c>
      <c r="B78" s="171" t="str">
        <f t="shared" si="13"/>
        <v>Græs og urter</v>
      </c>
      <c r="C78" s="171" t="str">
        <f>IFERROR(VLOOKUP(A78,'Kategorisering af kcal'!$A$2:$B$18,2,FALSE),"")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5"/>
        <v>1</v>
      </c>
      <c r="F78" s="171">
        <f t="shared" si="14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5395334.9719225094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3974704.3180609508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8"/>
        <v>1420630.6538615585</v>
      </c>
      <c r="P78" s="94">
        <f t="shared" si="19"/>
        <v>1420630.6538615585</v>
      </c>
      <c r="Q78" s="180">
        <f t="shared" si="20"/>
        <v>0</v>
      </c>
      <c r="R78">
        <f>IFERROR(VLOOKUP(A78,[1]Energiindhold!$A$2:$C$11,3,FALSE),IFERROR(VLOOKUP(A78,[1]Biogasudbytte!$A$2:$B$18,2,FALSE)*[1]Energiindhold!$C$10,0))*P78</f>
        <v>5.1000640473629959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5.1000640473629959</v>
      </c>
      <c r="T78">
        <f>IFERROR(VLOOKUP(A78,[1]Biogasudbytte!$A$2:$B$18,2,FALSE)*[1]Energiindhold!$C$10,0)*K78*IFERROR(VLOOKUP(A78,Biogasanlæg!$F$3:$G$8,2,FALSE),1)</f>
        <v>0</v>
      </c>
      <c r="U78" s="170">
        <f t="shared" si="21"/>
        <v>5.1000640473629959</v>
      </c>
      <c r="V78" s="169">
        <f>P78*IFERROR(VLOOKUP(A78,[1]Tørstofindhold!A$2:B$24,2,FALSE),0)</f>
        <v>426189.19615846756</v>
      </c>
      <c r="W78">
        <f>IF(F78=År1,Q78,SUM(P78,Q78))*IFERROR(VLOOKUP(A78,[1]Tørstofindhold!A$2:B$24,2,FALSE),0)</f>
        <v>426189.19615846756</v>
      </c>
      <c r="X78">
        <f>K78*IFERROR(VLOOKUP(A78,[1]Tørstofindhold!A$2:B$24,2,FALSE),0)</f>
        <v>0</v>
      </c>
      <c r="Y78" s="170">
        <f t="shared" si="22"/>
        <v>426189.19615846756</v>
      </c>
      <c r="Z78">
        <f t="shared" si="16"/>
        <v>0</v>
      </c>
      <c r="AA78">
        <f t="shared" si="17"/>
        <v>1</v>
      </c>
      <c r="AC78" s="94">
        <f t="shared" si="23"/>
        <v>1420630.6538615585</v>
      </c>
      <c r="AD78">
        <f>AC78*E78*10000*VLOOKUP(A78,[1]kcal!$A$2:$C$49,3,FALSE)/1000000000000*IFERROR(VLOOKUP(A78,'Kategorisering af kcal'!$A$2:$E$18,MATCH('Produktion &amp; forbrug'!F78,'Kategorisering af kcal'!$A$1:$E$1,0),FALSE),0)</f>
        <v>1.2927738950140184</v>
      </c>
      <c r="AE78">
        <f>IF(C78&lt;&gt;"",AC78*(1-IF(A78&lt;&gt;"Græs",VLOOKUP(A78,'Kategorisering af kcal'!$A$2:$E$18,MATCH('Produktion &amp; forbrug'!F78,'Kategorisering af kcal'!$A$1:$E$1,0),FALSE),HLOOKUP(F78,Græsprotein!$C$2:$E$8,7))),'Produktion &amp; forbrug'!AC78)</f>
        <v>0</v>
      </c>
      <c r="AF78" s="94">
        <f t="shared" si="24"/>
        <v>1420630.6538615585</v>
      </c>
      <c r="AG78">
        <f>IF(AC78&lt;0,AD78,G78*E78*10000*VLOOKUP(A78,[1]kcal!$A$2:$C$49,3,FALSE)/1000000000000*IFERROR(VLOOKUP(A78,'Kategorisering af kcal'!$A$2:$E$18,MATCH('Produktion &amp; forbrug'!F78,'Kategorisering af kcal'!$A$1:$E$1,0),FALSE),0))</f>
        <v>4.9097548244494833</v>
      </c>
    </row>
    <row r="79" spans="1:33" x14ac:dyDescent="0.25">
      <c r="A79" s="171" t="str">
        <f t="shared" si="12"/>
        <v>Mejeriprodukter</v>
      </c>
      <c r="B79" s="171" t="str">
        <f t="shared" si="13"/>
        <v/>
      </c>
      <c r="C79" s="171" t="str">
        <f>IFERROR(VLOOKUP(A79,'Kategorisering af kcal'!$A$2:$B$18,2,FALSE),"")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5"/>
        <v>1</v>
      </c>
      <c r="F79" s="171">
        <f t="shared" si="14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1460315.2156438841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0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8"/>
        <v>1460315.2156438841</v>
      </c>
      <c r="P79" s="94">
        <f t="shared" si="19"/>
        <v>0</v>
      </c>
      <c r="Q79" s="180">
        <f t="shared" si="2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1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2"/>
        <v>0</v>
      </c>
      <c r="Z79">
        <f t="shared" si="16"/>
        <v>0</v>
      </c>
      <c r="AA79">
        <f t="shared" si="17"/>
        <v>1</v>
      </c>
      <c r="AC79" s="94">
        <f t="shared" si="23"/>
        <v>1460315.2156438841</v>
      </c>
      <c r="AD79">
        <f>AC79*E79*10000*VLOOKUP(A79,[1]kcal!$A$2:$C$49,3,FALSE)/1000000000000*IFERROR(VLOOKUP(A79,'Kategorisering af kcal'!$A$2:$E$18,MATCH('Produktion &amp; forbrug'!F79,'Kategorisering af kcal'!$A$1:$E$1,0),FALSE),0)</f>
        <v>0.91999858585564698</v>
      </c>
      <c r="AE79">
        <f>IF(C79&lt;&gt;"",AC79*(1-IF(A79&lt;&gt;"Græs",VLOOKUP(A79,'Kategorisering af kcal'!$A$2:$E$18,MATCH('Produktion &amp; forbrug'!F79,'Kategorisering af kcal'!$A$1:$E$1,0),FALSE),HLOOKUP(F79,Græsprotein!$C$2:$E$8,7))),'Produktion &amp; forbrug'!AC79)</f>
        <v>0</v>
      </c>
      <c r="AF79" s="94">
        <f t="shared" si="24"/>
        <v>1460315.2156438841</v>
      </c>
      <c r="AG79">
        <f>IF(AC79&lt;0,AD79,G79*E79*10000*VLOOKUP(A79,[1]kcal!$A$2:$C$49,3,FALSE)/1000000000000*IFERROR(VLOOKUP(A79,'Kategorisering af kcal'!$A$2:$E$18,MATCH('Produktion &amp; forbrug'!F79,'Kategorisering af kcal'!$A$1:$E$1,0),FALSE),0))</f>
        <v>0.91999858585564698</v>
      </c>
    </row>
    <row r="80" spans="1:33" x14ac:dyDescent="0.25">
      <c r="A80" s="171" t="str">
        <f t="shared" si="12"/>
        <v>Muslinger</v>
      </c>
      <c r="B80" s="171" t="str">
        <f t="shared" si="13"/>
        <v>Havbiomasse</v>
      </c>
      <c r="C80" s="171" t="str">
        <f>IFERROR(VLOOKUP(A80,'Kategorisering af kcal'!$A$2:$B$18,2,FALSE),"")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5"/>
        <v>1</v>
      </c>
      <c r="F80" s="171">
        <f t="shared" si="14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8"/>
        <v>880.09999999999991</v>
      </c>
      <c r="P80" s="94">
        <f t="shared" si="19"/>
        <v>880.09999999999991</v>
      </c>
      <c r="Q80" s="180">
        <f t="shared" si="20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1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2"/>
        <v>132.01499999999999</v>
      </c>
      <c r="Z80">
        <f t="shared" si="16"/>
        <v>0</v>
      </c>
      <c r="AA80">
        <f t="shared" si="17"/>
        <v>1</v>
      </c>
      <c r="AC80" s="94">
        <f t="shared" si="23"/>
        <v>880.09999999999991</v>
      </c>
      <c r="AD80">
        <f>AC80*E80*10000*VLOOKUP(A80,[1]kcal!$A$2:$C$49,3,FALSE)/1000000000000*IFERROR(VLOOKUP(A80,'Kategorisering af kcal'!$A$2:$E$18,MATCH('Produktion &amp; forbrug'!F80,'Kategorisering af kcal'!$A$1:$E$1,0),FALSE),0)</f>
        <v>7.3048299999999998E-4</v>
      </c>
      <c r="AE80">
        <f>IF(C80&lt;&gt;"",AC80*(1-IF(A80&lt;&gt;"Græs",VLOOKUP(A80,'Kategorisering af kcal'!$A$2:$E$18,MATCH('Produktion &amp; forbrug'!F80,'Kategorisering af kcal'!$A$1:$E$1,0),FALSE),HLOOKUP(F80,Græsprotein!$C$2:$E$8,7))),'Produktion &amp; forbrug'!AC80)</f>
        <v>0</v>
      </c>
      <c r="AF80" s="94">
        <f t="shared" si="24"/>
        <v>880.09999999999991</v>
      </c>
      <c r="AG80">
        <f>IF(AC80&lt;0,AD80,G80*E80*10000*VLOOKUP(A80,[1]kcal!$A$2:$C$49,3,FALSE)/1000000000000*IFERROR(VLOOKUP(A80,'Kategorisering af kcal'!$A$2:$E$18,MATCH('Produktion &amp; forbrug'!F80,'Kategorisering af kcal'!$A$1:$E$1,0),FALSE),0))</f>
        <v>7.3048299999999998E-4</v>
      </c>
    </row>
    <row r="81" spans="1:33" x14ac:dyDescent="0.25">
      <c r="A81" s="171" t="str">
        <f t="shared" si="12"/>
        <v>Oksekød</v>
      </c>
      <c r="B81" s="171" t="str">
        <f t="shared" si="13"/>
        <v/>
      </c>
      <c r="C81" s="171" t="str">
        <f>IFERROR(VLOOKUP(A81,'Kategorisering af kcal'!$A$2:$B$18,2,FALSE),"")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5"/>
        <v>1</v>
      </c>
      <c r="F81" s="171">
        <f t="shared" si="14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94202.59631534839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0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8"/>
        <v>94202.59631534839</v>
      </c>
      <c r="P81" s="94">
        <f t="shared" si="19"/>
        <v>0</v>
      </c>
      <c r="Q81" s="180">
        <f t="shared" si="2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1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2"/>
        <v>0</v>
      </c>
      <c r="Z81">
        <f t="shared" si="16"/>
        <v>0</v>
      </c>
      <c r="AA81">
        <f t="shared" si="17"/>
        <v>1</v>
      </c>
      <c r="AC81" s="94">
        <f t="shared" si="23"/>
        <v>94202.59631534839</v>
      </c>
      <c r="AD81">
        <f>AC81*E81*10000*VLOOKUP(A81,[1]kcal!$A$2:$C$49,3,FALSE)/1000000000000*IFERROR(VLOOKUP(A81,'Kategorisering af kcal'!$A$2:$E$18,MATCH('Produktion &amp; forbrug'!F81,'Kategorisering af kcal'!$A$1:$E$1,0),FALSE),0)</f>
        <v>0.18369506281492934</v>
      </c>
      <c r="AE81">
        <f>IF(C81&lt;&gt;"",AC81*(1-IF(A81&lt;&gt;"Græs",VLOOKUP(A81,'Kategorisering af kcal'!$A$2:$E$18,MATCH('Produktion &amp; forbrug'!F81,'Kategorisering af kcal'!$A$1:$E$1,0),FALSE),HLOOKUP(F81,Græsprotein!$C$2:$E$8,7))),'Produktion &amp; forbrug'!AC81)</f>
        <v>0</v>
      </c>
      <c r="AF81" s="94">
        <f t="shared" si="24"/>
        <v>94202.59631534839</v>
      </c>
      <c r="AG81">
        <f>IF(AC81&lt;0,AD81,G81*E81*10000*VLOOKUP(A81,[1]kcal!$A$2:$C$49,3,FALSE)/1000000000000*IFERROR(VLOOKUP(A81,'Kategorisering af kcal'!$A$2:$E$18,MATCH('Produktion &amp; forbrug'!F81,'Kategorisering af kcal'!$A$1:$E$1,0),FALSE),0))</f>
        <v>0.18369506281492934</v>
      </c>
    </row>
    <row r="82" spans="1:33" x14ac:dyDescent="0.25">
      <c r="A82" s="171" t="str">
        <f t="shared" si="12"/>
        <v>Øvrige</v>
      </c>
      <c r="B82" s="171" t="str">
        <f t="shared" si="13"/>
        <v/>
      </c>
      <c r="C82" s="171" t="str">
        <f>IFERROR(VLOOKUP(A82,'Kategorisering af kcal'!$A$2:$B$18,2,FALSE),"")</f>
        <v/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5"/>
        <v>1</v>
      </c>
      <c r="F82" s="171">
        <f t="shared" si="14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1349220.0574663728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8"/>
        <v>1349220.0574663728</v>
      </c>
      <c r="P82" s="94">
        <f t="shared" si="19"/>
        <v>0</v>
      </c>
      <c r="Q82" s="180">
        <f t="shared" si="2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1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2"/>
        <v>0</v>
      </c>
      <c r="Z82">
        <f t="shared" si="16"/>
        <v>0</v>
      </c>
      <c r="AA82">
        <f t="shared" si="17"/>
        <v>1</v>
      </c>
      <c r="AC82" s="94">
        <f t="shared" si="23"/>
        <v>1349220.0574663728</v>
      </c>
      <c r="AD82">
        <f>AC82*E82*10000*VLOOKUP(A82,[1]kcal!$A$2:$C$49,3,FALSE)/1000000000000*IFERROR(VLOOKUP(A82,'Kategorisering af kcal'!$A$2:$E$18,MATCH('Produktion &amp; forbrug'!F82,'Kategorisering af kcal'!$A$1:$E$1,0),FALSE),0)</f>
        <v>0</v>
      </c>
      <c r="AE82">
        <f>IF(C82&lt;&gt;"",AC82*(1-IF(A82&lt;&gt;"Græs",VLOOKUP(A82,'Kategorisering af kcal'!$A$2:$E$18,MATCH('Produktion &amp; forbrug'!F82,'Kategorisering af kcal'!$A$1:$E$1,0),FALSE),HLOOKUP(F82,Græsprotein!$C$2:$E$8,7))),'Produktion &amp; forbrug'!AC82)</f>
        <v>1349220.0574663728</v>
      </c>
      <c r="AF82" s="94">
        <f t="shared" si="24"/>
        <v>0</v>
      </c>
      <c r="AG82">
        <f>IF(AC82&lt;0,AD82,G82*E82*10000*VLOOKUP(A82,[1]kcal!$A$2:$C$49,3,FALSE)/1000000000000*IFERROR(VLOOKUP(A82,'Kategorisering af kcal'!$A$2:$E$18,MATCH('Produktion &amp; forbrug'!F82,'Kategorisering af kcal'!$A$1:$E$1,0),FALSE),0))</f>
        <v>0</v>
      </c>
    </row>
    <row r="83" spans="1:33" x14ac:dyDescent="0.25">
      <c r="A83" s="171" t="str">
        <f t="shared" si="12"/>
        <v>Pil &amp; poppel</v>
      </c>
      <c r="B83" s="171" t="str">
        <f t="shared" si="13"/>
        <v>Vedmasse</v>
      </c>
      <c r="C83" s="171" t="str">
        <f>IFERROR(VLOOKUP(A83,'Kategorisering af kcal'!$A$2:$B$18,2,FALSE),"")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5"/>
        <v>0</v>
      </c>
      <c r="F83" s="171">
        <f t="shared" si="14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1169664.3920535347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1169664.3920535347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8"/>
        <v>0</v>
      </c>
      <c r="P83" s="94">
        <f t="shared" si="19"/>
        <v>0</v>
      </c>
      <c r="Q83" s="180">
        <f t="shared" si="20"/>
        <v>1169664.3920535347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21.521824813785035</v>
      </c>
      <c r="T83">
        <f>IFERROR(VLOOKUP(A83,[1]Biogasudbytte!$A$2:$B$18,2,FALSE)*[1]Energiindhold!$C$10,0)*K83*IFERROR(VLOOKUP(A83,Biogasanlæg!$F$3:$G$8,2,FALSE),1)</f>
        <v>0</v>
      </c>
      <c r="U83" s="170">
        <f t="shared" si="21"/>
        <v>21.521824813785035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485410.72270221694</v>
      </c>
      <c r="X83">
        <f>K83*IFERROR(VLOOKUP(A83,[1]Tørstofindhold!A$2:B$24,2,FALSE),0)</f>
        <v>0</v>
      </c>
      <c r="Y83" s="170">
        <f t="shared" si="22"/>
        <v>485410.72270221694</v>
      </c>
      <c r="Z83">
        <f t="shared" si="16"/>
        <v>0</v>
      </c>
      <c r="AA83">
        <f t="shared" si="17"/>
        <v>0</v>
      </c>
      <c r="AC83" s="94">
        <f t="shared" si="23"/>
        <v>1169664.3920535347</v>
      </c>
      <c r="AD83">
        <f>AC83*E83*10000*VLOOKUP(A83,[1]kcal!$A$2:$C$49,3,FALSE)/1000000000000*IFERROR(VLOOKUP(A83,'Kategorisering af kcal'!$A$2:$E$18,MATCH('Produktion &amp; forbrug'!F83,'Kategorisering af kcal'!$A$1:$E$1,0),FALSE),0)</f>
        <v>0</v>
      </c>
      <c r="AE83">
        <f>IF(C83&lt;&gt;"",AC83*(1-IF(A83&lt;&gt;"Græs",VLOOKUP(A83,'Kategorisering af kcal'!$A$2:$E$18,MATCH('Produktion &amp; forbrug'!F83,'Kategorisering af kcal'!$A$1:$E$1,0),FALSE),HLOOKUP(F83,Græsprotein!$C$2:$E$8,7))),'Produktion &amp; forbrug'!AC83)</f>
        <v>1169664.3920535347</v>
      </c>
      <c r="AF83" s="94">
        <f t="shared" si="24"/>
        <v>0</v>
      </c>
      <c r="AG83">
        <f>IF(AC83&lt;0,AD83,G83*E83*10000*VLOOKUP(A83,[1]kcal!$A$2:$C$49,3,FALSE)/1000000000000*IFERROR(VLOOKUP(A83,'Kategorisering af kcal'!$A$2:$E$18,MATCH('Produktion &amp; forbrug'!F83,'Kategorisering af kcal'!$A$1:$E$1,0),FALSE),0))</f>
        <v>0</v>
      </c>
    </row>
    <row r="84" spans="1:33" x14ac:dyDescent="0.25">
      <c r="A84" s="171" t="str">
        <f t="shared" si="12"/>
        <v>Pyrolysegas</v>
      </c>
      <c r="B84" s="171" t="str">
        <f t="shared" si="13"/>
        <v>Pyrolyseprodukter</v>
      </c>
      <c r="C84" s="171" t="str">
        <f>IFERROR(VLOOKUP(A84,'Kategorisering af kcal'!$A$2:$B$18,2,FALSE),"")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5"/>
        <v>0</v>
      </c>
      <c r="F84" s="171">
        <f t="shared" si="14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8"/>
        <v>0</v>
      </c>
      <c r="P84" s="94">
        <f t="shared" si="19"/>
        <v>0</v>
      </c>
      <c r="Q84" s="180">
        <f t="shared" si="20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1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2"/>
        <v>0</v>
      </c>
      <c r="Z84">
        <f t="shared" si="16"/>
        <v>0</v>
      </c>
      <c r="AA84">
        <f t="shared" si="17"/>
        <v>0</v>
      </c>
      <c r="AC84" s="94">
        <f t="shared" si="23"/>
        <v>0</v>
      </c>
      <c r="AD84">
        <f>AC84*E84*10000*VLOOKUP(A84,[1]kcal!$A$2:$C$49,3,FALSE)/1000000000000*IFERROR(VLOOKUP(A84,'Kategorisering af kcal'!$A$2:$E$18,MATCH('Produktion &amp; forbrug'!F84,'Kategorisering af kcal'!$A$1:$E$1,0),FALSE),0)</f>
        <v>0</v>
      </c>
      <c r="AE84">
        <f>IF(C84&lt;&gt;"",AC84*(1-IF(A84&lt;&gt;"Græs",VLOOKUP(A84,'Kategorisering af kcal'!$A$2:$E$18,MATCH('Produktion &amp; forbrug'!F84,'Kategorisering af kcal'!$A$1:$E$1,0),FALSE),HLOOKUP(F84,Græsprotein!$C$2:$E$8,7))),'Produktion &amp; forbrug'!AC84)</f>
        <v>0</v>
      </c>
      <c r="AF84" s="94">
        <f t="shared" si="24"/>
        <v>0</v>
      </c>
      <c r="AG84">
        <f>IF(AC84&lt;0,AD84,G84*E84*10000*VLOOKUP(A84,[1]kcal!$A$2:$C$49,3,FALSE)/1000000000000*IFERROR(VLOOKUP(A84,'Kategorisering af kcal'!$A$2:$E$18,MATCH('Produktion &amp; forbrug'!F84,'Kategorisering af kcal'!$A$1:$E$1,0),FALSE),0))</f>
        <v>0</v>
      </c>
    </row>
    <row r="85" spans="1:33" x14ac:dyDescent="0.25">
      <c r="A85" s="171" t="str">
        <f t="shared" si="12"/>
        <v>Pyrolyseolie</v>
      </c>
      <c r="B85" s="171" t="str">
        <f t="shared" si="13"/>
        <v>Pyrolyseprodukter</v>
      </c>
      <c r="C85" s="171" t="str">
        <f>IFERROR(VLOOKUP(A85,'Kategorisering af kcal'!$A$2:$B$18,2,FALSE),"")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5"/>
        <v>0</v>
      </c>
      <c r="F85" s="171">
        <f t="shared" si="14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8"/>
        <v>0</v>
      </c>
      <c r="P85" s="94">
        <f t="shared" si="19"/>
        <v>0</v>
      </c>
      <c r="Q85" s="180">
        <f t="shared" si="20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1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2"/>
        <v>0</v>
      </c>
      <c r="Z85">
        <f t="shared" si="16"/>
        <v>0</v>
      </c>
      <c r="AA85">
        <f t="shared" si="17"/>
        <v>0</v>
      </c>
      <c r="AC85" s="94">
        <f t="shared" si="23"/>
        <v>0</v>
      </c>
      <c r="AD85">
        <f>AC85*E85*10000*VLOOKUP(A85,[1]kcal!$A$2:$C$49,3,FALSE)/1000000000000*IFERROR(VLOOKUP(A85,'Kategorisering af kcal'!$A$2:$E$18,MATCH('Produktion &amp; forbrug'!F85,'Kategorisering af kcal'!$A$1:$E$1,0),FALSE),0)</f>
        <v>0</v>
      </c>
      <c r="AE85">
        <f>IF(C85&lt;&gt;"",AC85*(1-IF(A85&lt;&gt;"Græs",VLOOKUP(A85,'Kategorisering af kcal'!$A$2:$E$18,MATCH('Produktion &amp; forbrug'!F85,'Kategorisering af kcal'!$A$1:$E$1,0),FALSE),HLOOKUP(F85,Græsprotein!$C$2:$E$8,7))),'Produktion &amp; forbrug'!AC85)</f>
        <v>0</v>
      </c>
      <c r="AF85" s="94">
        <f t="shared" si="24"/>
        <v>0</v>
      </c>
      <c r="AG85">
        <f>IF(AC85&lt;0,AD85,G85*E85*10000*VLOOKUP(A85,[1]kcal!$A$2:$C$49,3,FALSE)/1000000000000*IFERROR(VLOOKUP(A85,'Kategorisering af kcal'!$A$2:$E$18,MATCH('Produktion &amp; forbrug'!F85,'Kategorisering af kcal'!$A$1:$E$1,0),FALSE),0))</f>
        <v>0</v>
      </c>
    </row>
    <row r="86" spans="1:33" x14ac:dyDescent="0.25">
      <c r="A86" s="171" t="str">
        <f t="shared" si="12"/>
        <v>Råmælk</v>
      </c>
      <c r="B86" s="171" t="str">
        <f t="shared" si="13"/>
        <v/>
      </c>
      <c r="C86" s="171" t="str">
        <f>IFERROR(VLOOKUP(A86,'Kategorisering af kcal'!$A$2:$B$18,2,FALSE),"")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5"/>
        <v>0</v>
      </c>
      <c r="F86" s="171">
        <f t="shared" si="14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2274008.9680147558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8"/>
        <v>2274008.9680147558</v>
      </c>
      <c r="P86" s="94">
        <f t="shared" si="19"/>
        <v>0</v>
      </c>
      <c r="Q86" s="180">
        <f t="shared" si="20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1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2"/>
        <v>0</v>
      </c>
      <c r="Z86">
        <f t="shared" si="16"/>
        <v>0</v>
      </c>
      <c r="AA86">
        <f t="shared" si="17"/>
        <v>1</v>
      </c>
      <c r="AC86" s="94">
        <f t="shared" si="23"/>
        <v>2274008.9680147558</v>
      </c>
      <c r="AD86">
        <f>AC86*E86*10000*VLOOKUP(A86,[1]kcal!$A$2:$C$49,3,FALSE)/1000000000000*IFERROR(VLOOKUP(A86,'Kategorisering af kcal'!$A$2:$E$18,MATCH('Produktion &amp; forbrug'!F86,'Kategorisering af kcal'!$A$1:$E$1,0),FALSE),0)</f>
        <v>0</v>
      </c>
      <c r="AE86">
        <f>IF(C86&lt;&gt;"",AC86*(1-IF(A86&lt;&gt;"Græs",VLOOKUP(A86,'Kategorisering af kcal'!$A$2:$E$18,MATCH('Produktion &amp; forbrug'!F86,'Kategorisering af kcal'!$A$1:$E$1,0),FALSE),HLOOKUP(F86,Græsprotein!$C$2:$E$8,7))),'Produktion &amp; forbrug'!AC86)</f>
        <v>2274008.9680147558</v>
      </c>
      <c r="AF86" s="94">
        <f t="shared" si="24"/>
        <v>0</v>
      </c>
      <c r="AG86">
        <f>IF(AC86&lt;0,AD86,G86*E86*10000*VLOOKUP(A86,[1]kcal!$A$2:$C$49,3,FALSE)/1000000000000*IFERROR(VLOOKUP(A86,'Kategorisering af kcal'!$A$2:$E$18,MATCH('Produktion &amp; forbrug'!F86,'Kategorisering af kcal'!$A$1:$E$1,0),FALSE),0))</f>
        <v>0</v>
      </c>
    </row>
    <row r="87" spans="1:33" x14ac:dyDescent="0.25">
      <c r="A87" s="171" t="str">
        <f t="shared" si="12"/>
        <v>Raps</v>
      </c>
      <c r="B87" s="171" t="str">
        <f t="shared" si="13"/>
        <v/>
      </c>
      <c r="C87" s="171" t="str">
        <f>IFERROR(VLOOKUP(A87,'Kategorisering af kcal'!$A$2:$B$18,2,FALSE),"")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5"/>
        <v>0</v>
      </c>
      <c r="F87" s="171">
        <f t="shared" si="14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962189.31811065669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962189.31811065669</v>
      </c>
      <c r="O87" s="179">
        <f t="shared" si="18"/>
        <v>0</v>
      </c>
      <c r="P87" s="94">
        <f t="shared" si="19"/>
        <v>0</v>
      </c>
      <c r="Q87" s="180">
        <f t="shared" si="20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1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2"/>
        <v>0</v>
      </c>
      <c r="Z87">
        <f t="shared" si="16"/>
        <v>0</v>
      </c>
      <c r="AA87">
        <f t="shared" si="17"/>
        <v>0</v>
      </c>
      <c r="AC87" s="94">
        <f t="shared" si="23"/>
        <v>0</v>
      </c>
      <c r="AD87">
        <f>AC87*E87*10000*VLOOKUP(A87,[1]kcal!$A$2:$C$49,3,FALSE)/1000000000000*IFERROR(VLOOKUP(A87,'Kategorisering af kcal'!$A$2:$E$18,MATCH('Produktion &amp; forbrug'!F87,'Kategorisering af kcal'!$A$1:$E$1,0),FALSE),0)</f>
        <v>0</v>
      </c>
      <c r="AE87">
        <f>IF(C87&lt;&gt;"",AC87*(1-IF(A87&lt;&gt;"Græs",VLOOKUP(A87,'Kategorisering af kcal'!$A$2:$E$18,MATCH('Produktion &amp; forbrug'!F87,'Kategorisering af kcal'!$A$1:$E$1,0),FALSE),HLOOKUP(F87,Græsprotein!$C$2:$E$8,7))),'Produktion &amp; forbrug'!AC87)</f>
        <v>0</v>
      </c>
      <c r="AF87" s="94">
        <f t="shared" si="24"/>
        <v>0</v>
      </c>
      <c r="AG87">
        <f>IF(AC87&lt;0,AD87,G87*E87*10000*VLOOKUP(A87,[1]kcal!$A$2:$C$49,3,FALSE)/1000000000000*IFERROR(VLOOKUP(A87,'Kategorisering af kcal'!$A$2:$E$18,MATCH('Produktion &amp; forbrug'!F87,'Kategorisering af kcal'!$A$1:$E$1,0),FALSE),0))</f>
        <v>0</v>
      </c>
    </row>
    <row r="88" spans="1:33" x14ac:dyDescent="0.25">
      <c r="A88" s="171" t="str">
        <f t="shared" si="12"/>
        <v>Rapskage</v>
      </c>
      <c r="B88" s="171" t="str">
        <f t="shared" si="13"/>
        <v/>
      </c>
      <c r="C88" s="171" t="str">
        <f>IFERROR(VLOOKUP(A88,'Kategorisering af kcal'!$A$2:$B$18,2,FALSE),"")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5"/>
        <v>0</v>
      </c>
      <c r="F88" s="171">
        <f t="shared" si="14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481094.65905532835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150566.48491478726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8"/>
        <v>330528.17414054112</v>
      </c>
      <c r="P88" s="94">
        <f t="shared" si="19"/>
        <v>0</v>
      </c>
      <c r="Q88" s="180">
        <f t="shared" si="20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1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2"/>
        <v>0</v>
      </c>
      <c r="Z88">
        <f t="shared" si="16"/>
        <v>0</v>
      </c>
      <c r="AA88">
        <f t="shared" si="17"/>
        <v>1</v>
      </c>
      <c r="AC88" s="94">
        <f t="shared" si="23"/>
        <v>330528.17414054112</v>
      </c>
      <c r="AD88">
        <f>AC88*E88*10000*VLOOKUP(A88,[1]kcal!$A$2:$C$49,3,FALSE)/1000000000000*IFERROR(VLOOKUP(A88,'Kategorisering af kcal'!$A$2:$E$18,MATCH('Produktion &amp; forbrug'!F88,'Kategorisering af kcal'!$A$1:$E$1,0),FALSE),0)</f>
        <v>0</v>
      </c>
      <c r="AE88">
        <f>IF(C88&lt;&gt;"",AC88*(1-IF(A88&lt;&gt;"Græs",VLOOKUP(A88,'Kategorisering af kcal'!$A$2:$E$18,MATCH('Produktion &amp; forbrug'!F88,'Kategorisering af kcal'!$A$1:$E$1,0),FALSE),HLOOKUP(F88,Græsprotein!$C$2:$E$8,7))),'Produktion &amp; forbrug'!AC88)</f>
        <v>330528.17414054112</v>
      </c>
      <c r="AF88" s="94">
        <f t="shared" si="24"/>
        <v>0</v>
      </c>
      <c r="AG88">
        <f>IF(AC88&lt;0,AD88,G88*E88*10000*VLOOKUP(A88,[1]kcal!$A$2:$C$49,3,FALSE)/1000000000000*IFERROR(VLOOKUP(A88,'Kategorisering af kcal'!$A$2:$E$18,MATCH('Produktion &amp; forbrug'!F88,'Kategorisering af kcal'!$A$1:$E$1,0),FALSE),0))</f>
        <v>0</v>
      </c>
    </row>
    <row r="89" spans="1:33" x14ac:dyDescent="0.25">
      <c r="A89" s="171" t="str">
        <f t="shared" si="12"/>
        <v>Rapsolie</v>
      </c>
      <c r="B89" s="171" t="str">
        <f t="shared" si="13"/>
        <v>Rapsolie</v>
      </c>
      <c r="C89" s="171" t="str">
        <f>IFERROR(VLOOKUP(A89,'Kategorisering af kcal'!$A$2:$B$18,2,FALSE),"")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5"/>
        <v>1</v>
      </c>
      <c r="F89" s="171">
        <f t="shared" si="14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307900.58179541014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307900.58179541014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8"/>
        <v>0</v>
      </c>
      <c r="P89" s="94">
        <f t="shared" si="19"/>
        <v>0</v>
      </c>
      <c r="Q89" s="180">
        <f t="shared" si="20"/>
        <v>307900.58179541014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10.776520362839355</v>
      </c>
      <c r="T89">
        <f>IFERROR(VLOOKUP(A89,[1]Biogasudbytte!$A$2:$B$18,2,FALSE)*[1]Energiindhold!$C$10,0)*K89*IFERROR(VLOOKUP(A89,Biogasanlæg!$F$3:$G$8,2,FALSE),1)</f>
        <v>0</v>
      </c>
      <c r="U89" s="170">
        <f t="shared" si="21"/>
        <v>10.776520362839355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2"/>
        <v>0</v>
      </c>
      <c r="Z89">
        <f t="shared" si="16"/>
        <v>0</v>
      </c>
      <c r="AA89">
        <f t="shared" si="17"/>
        <v>0</v>
      </c>
      <c r="AC89" s="94">
        <f t="shared" si="23"/>
        <v>307900.58179541014</v>
      </c>
      <c r="AD89">
        <f>AC89*E89*10000*VLOOKUP(A89,[1]kcal!$A$2:$C$49,3,FALSE)/1000000000000*IFERROR(VLOOKUP(A89,'Kategorisering af kcal'!$A$2:$E$18,MATCH('Produktion &amp; forbrug'!F89,'Kategorisering af kcal'!$A$1:$E$1,0),FALSE),0)</f>
        <v>2.7711052361586912</v>
      </c>
      <c r="AE89">
        <f>IF(C89&lt;&gt;"",AC89*(1-IF(A89&lt;&gt;"Græs",VLOOKUP(A89,'Kategorisering af kcal'!$A$2:$E$18,MATCH('Produktion &amp; forbrug'!F89,'Kategorisering af kcal'!$A$1:$E$1,0),FALSE),HLOOKUP(F89,Græsprotein!$C$2:$E$8,7))),'Produktion &amp; forbrug'!AC89)</f>
        <v>0</v>
      </c>
      <c r="AF89" s="94">
        <f t="shared" si="24"/>
        <v>307900.58179541014</v>
      </c>
      <c r="AG89">
        <f>IF(AC89&lt;0,AD89,G89*E89*10000*VLOOKUP(A89,[1]kcal!$A$2:$C$49,3,FALSE)/1000000000000*IFERROR(VLOOKUP(A89,'Kategorisering af kcal'!$A$2:$E$18,MATCH('Produktion &amp; forbrug'!F89,'Kategorisering af kcal'!$A$1:$E$1,0),FALSE),0))</f>
        <v>2.7711052361586912</v>
      </c>
    </row>
    <row r="90" spans="1:33" x14ac:dyDescent="0.25">
      <c r="A90" s="171" t="str">
        <f t="shared" si="12"/>
        <v>Roer</v>
      </c>
      <c r="B90" s="171" t="str">
        <f t="shared" si="13"/>
        <v>Græs og urter</v>
      </c>
      <c r="C90" s="171" t="str">
        <f>IFERROR(VLOOKUP(A90,'Kategorisering af kcal'!$A$2:$B$18,2,FALSE),"")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5"/>
        <v>1</v>
      </c>
      <c r="F90" s="171">
        <f t="shared" si="14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3789970.9535080842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591556.18968613085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8"/>
        <v>3198414.7638219534</v>
      </c>
      <c r="P90" s="94">
        <f t="shared" si="19"/>
        <v>3198414.7638219534</v>
      </c>
      <c r="Q90" s="180">
        <f t="shared" si="20"/>
        <v>0</v>
      </c>
      <c r="R90">
        <f>IFERROR(VLOOKUP(A90,[1]Energiindhold!$A$2:$C$11,3,FALSE),IFERROR(VLOOKUP(A90,[1]Biogasudbytte!$A$2:$B$18,2,FALSE)*[1]Energiindhold!$C$10,0))*P90</f>
        <v>8.6806256056033337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8.6806256056033337</v>
      </c>
      <c r="T90">
        <f>IFERROR(VLOOKUP(A90,[1]Biogasudbytte!$A$2:$B$18,2,FALSE)*[1]Energiindhold!$C$10,0)*K90*IFERROR(VLOOKUP(A90,Biogasanlæg!$F$3:$G$8,2,FALSE),1)</f>
        <v>0</v>
      </c>
      <c r="U90" s="170">
        <f t="shared" si="21"/>
        <v>8.6806256056033337</v>
      </c>
      <c r="V90" s="169">
        <f>P90*IFERROR(VLOOKUP(A90,[1]Tørstofindhold!A$2:B$24,2,FALSE),0)</f>
        <v>639682.95276439073</v>
      </c>
      <c r="W90">
        <f>IF(F90=År1,Q90,SUM(P90,Q90))*IFERROR(VLOOKUP(A90,[1]Tørstofindhold!A$2:B$24,2,FALSE),0)</f>
        <v>639682.95276439073</v>
      </c>
      <c r="X90">
        <f>K90*IFERROR(VLOOKUP(A90,[1]Tørstofindhold!A$2:B$24,2,FALSE),0)</f>
        <v>0</v>
      </c>
      <c r="Y90" s="170">
        <f t="shared" si="22"/>
        <v>639682.95276439073</v>
      </c>
      <c r="Z90">
        <f t="shared" si="16"/>
        <v>0</v>
      </c>
      <c r="AA90">
        <f t="shared" si="17"/>
        <v>1</v>
      </c>
      <c r="AC90" s="94">
        <f t="shared" si="23"/>
        <v>3198414.7638219534</v>
      </c>
      <c r="AD90">
        <f>AC90*E90*10000*VLOOKUP(A90,[1]kcal!$A$2:$C$49,3,FALSE)/1000000000000*IFERROR(VLOOKUP(A90,'Kategorisering af kcal'!$A$2:$E$18,MATCH('Produktion &amp; forbrug'!F90,'Kategorisering af kcal'!$A$1:$E$1,0),FALSE),0)</f>
        <v>0.95952442914658609</v>
      </c>
      <c r="AE90">
        <f>IF(C90&lt;&gt;"",AC90*(1-IF(A90&lt;&gt;"Græs",VLOOKUP(A90,'Kategorisering af kcal'!$A$2:$E$18,MATCH('Produktion &amp; forbrug'!F90,'Kategorisering af kcal'!$A$1:$E$1,0),FALSE),HLOOKUP(F90,Græsprotein!$C$2:$E$8,7))),'Produktion &amp; forbrug'!AC90)</f>
        <v>0</v>
      </c>
      <c r="AF90" s="94">
        <f t="shared" si="24"/>
        <v>3198414.7638219534</v>
      </c>
      <c r="AG90">
        <f>IF(AC90&lt;0,AD90,G90*E90*10000*VLOOKUP(A90,[1]kcal!$A$2:$C$49,3,FALSE)/1000000000000*IFERROR(VLOOKUP(A90,'Kategorisering af kcal'!$A$2:$E$18,MATCH('Produktion &amp; forbrug'!F90,'Kategorisering af kcal'!$A$1:$E$1,0),FALSE),0))</f>
        <v>1.1369912860524254</v>
      </c>
    </row>
    <row r="91" spans="1:33" x14ac:dyDescent="0.25">
      <c r="A91" s="171" t="str">
        <f t="shared" si="12"/>
        <v>Slagteriaffald til andet</v>
      </c>
      <c r="B91" s="171" t="str">
        <f t="shared" si="13"/>
        <v/>
      </c>
      <c r="C91" s="171" t="str">
        <f>IFERROR(VLOOKUP(A91,'Kategorisering af kcal'!$A$2:$B$18,2,FALSE),"")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5"/>
        <v>0</v>
      </c>
      <c r="F91" s="171">
        <f t="shared" si="14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157887.36784693503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8"/>
        <v>157887.36784693503</v>
      </c>
      <c r="P91" s="94">
        <f t="shared" si="19"/>
        <v>0</v>
      </c>
      <c r="Q91" s="180">
        <f t="shared" si="20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1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2"/>
        <v>0</v>
      </c>
      <c r="Z91">
        <f t="shared" si="16"/>
        <v>0</v>
      </c>
      <c r="AA91">
        <f t="shared" si="17"/>
        <v>1</v>
      </c>
      <c r="AC91" s="94">
        <f t="shared" si="23"/>
        <v>157887.36784693503</v>
      </c>
      <c r="AD91">
        <f>AC91*E91*10000*VLOOKUP(A91,[1]kcal!$A$2:$C$49,3,FALSE)/1000000000000*IFERROR(VLOOKUP(A91,'Kategorisering af kcal'!$A$2:$E$18,MATCH('Produktion &amp; forbrug'!F91,'Kategorisering af kcal'!$A$1:$E$1,0),FALSE),0)</f>
        <v>0</v>
      </c>
      <c r="AE91">
        <f>IF(C91&lt;&gt;"",AC91*(1-IF(A91&lt;&gt;"Græs",VLOOKUP(A91,'Kategorisering af kcal'!$A$2:$E$18,MATCH('Produktion &amp; forbrug'!F91,'Kategorisering af kcal'!$A$1:$E$1,0),FALSE),HLOOKUP(F91,Græsprotein!$C$2:$E$8,7))),'Produktion &amp; forbrug'!AC91)</f>
        <v>157887.36784693503</v>
      </c>
      <c r="AF91" s="94">
        <f t="shared" si="24"/>
        <v>0</v>
      </c>
      <c r="AG91">
        <f>IF(AC91&lt;0,AD91,G91*E91*10000*VLOOKUP(A91,[1]kcal!$A$2:$C$49,3,FALSE)/1000000000000*IFERROR(VLOOKUP(A91,'Kategorisering af kcal'!$A$2:$E$18,MATCH('Produktion &amp; forbrug'!F91,'Kategorisering af kcal'!$A$1:$E$1,0),FALSE),0))</f>
        <v>0</v>
      </c>
    </row>
    <row r="92" spans="1:33" x14ac:dyDescent="0.25">
      <c r="A92" s="171" t="str">
        <f t="shared" si="12"/>
        <v>Slagteriaffald til foder</v>
      </c>
      <c r="B92" s="171" t="str">
        <f t="shared" si="13"/>
        <v/>
      </c>
      <c r="C92" s="171" t="str">
        <f>IFERROR(VLOOKUP(A92,'Kategorisering af kcal'!$A$2:$B$18,2,FALSE),"")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5"/>
        <v>0</v>
      </c>
      <c r="F92" s="171">
        <f t="shared" si="14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103223.33796901105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31087.701331546228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8"/>
        <v>72135.636637464821</v>
      </c>
      <c r="P92" s="94">
        <f t="shared" si="19"/>
        <v>0</v>
      </c>
      <c r="Q92" s="180">
        <f t="shared" si="20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1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2"/>
        <v>0</v>
      </c>
      <c r="Z92">
        <f t="shared" si="16"/>
        <v>0</v>
      </c>
      <c r="AA92">
        <f t="shared" si="17"/>
        <v>1</v>
      </c>
      <c r="AC92" s="94">
        <f t="shared" si="23"/>
        <v>72135.636637464821</v>
      </c>
      <c r="AD92">
        <f>AC92*E92*10000*VLOOKUP(A92,[1]kcal!$A$2:$C$49,3,FALSE)/1000000000000*IFERROR(VLOOKUP(A92,'Kategorisering af kcal'!$A$2:$E$18,MATCH('Produktion &amp; forbrug'!F92,'Kategorisering af kcal'!$A$1:$E$1,0),FALSE),0)</f>
        <v>0</v>
      </c>
      <c r="AE92">
        <f>IF(C92&lt;&gt;"",AC92*(1-IF(A92&lt;&gt;"Græs",VLOOKUP(A92,'Kategorisering af kcal'!$A$2:$E$18,MATCH('Produktion &amp; forbrug'!F92,'Kategorisering af kcal'!$A$1:$E$1,0),FALSE),HLOOKUP(F92,Græsprotein!$C$2:$E$8,7))),'Produktion &amp; forbrug'!AC92)</f>
        <v>72135.636637464821</v>
      </c>
      <c r="AF92" s="94">
        <f t="shared" si="24"/>
        <v>0</v>
      </c>
      <c r="AG92">
        <f>IF(AC92&lt;0,AD92,G92*E92*10000*VLOOKUP(A92,[1]kcal!$A$2:$C$49,3,FALSE)/1000000000000*IFERROR(VLOOKUP(A92,'Kategorisering af kcal'!$A$2:$E$18,MATCH('Produktion &amp; forbrug'!F92,'Kategorisering af kcal'!$A$1:$E$1,0),FALSE),0))</f>
        <v>0</v>
      </c>
    </row>
    <row r="93" spans="1:33" x14ac:dyDescent="0.25">
      <c r="A93" s="171" t="str">
        <f t="shared" si="12"/>
        <v>Spildevandsslam</v>
      </c>
      <c r="B93" s="171" t="str">
        <f t="shared" si="13"/>
        <v>Bionedbrydeligt affald</v>
      </c>
      <c r="C93" s="171" t="str">
        <f>IFERROR(VLOOKUP(A93,'Kategorisering af kcal'!$A$2:$B$18,2,FALSE),"")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5"/>
        <v>0</v>
      </c>
      <c r="F93" s="171">
        <f t="shared" si="14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7244400.4966166709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2747430.5145796794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8"/>
        <v>4496969.982036991</v>
      </c>
      <c r="P93" s="94">
        <f t="shared" si="19"/>
        <v>4496969.982036991</v>
      </c>
      <c r="Q93" s="180">
        <f t="shared" si="20"/>
        <v>2747430.5145796794</v>
      </c>
      <c r="R93">
        <f>IFERROR(VLOOKUP(A93,[1]Energiindhold!$A$2:$C$11,3,FALSE),IFERROR(VLOOKUP(A93,[1]Biogasudbytte!$A$2:$B$18,2,FALSE)*[1]Energiindhold!$C$10,0))*P93</f>
        <v>2.244032990736279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3.6150282918166852</v>
      </c>
      <c r="T93">
        <f>IFERROR(VLOOKUP(A93,[1]Biogasudbytte!$A$2:$B$18,2,FALSE)*[1]Energiindhold!$C$10,0)*K93*IFERROR(VLOOKUP(A93,Biogasanlæg!$F$3:$G$8,2,FALSE),1)</f>
        <v>1.3709953010804059</v>
      </c>
      <c r="U93" s="170">
        <f t="shared" si="21"/>
        <v>2.2440329907362795</v>
      </c>
      <c r="V93" s="169">
        <f>P93*IFERROR(VLOOKUP(A93,[1]Tørstofindhold!A$2:B$24,2,FALSE),0)</f>
        <v>269818.19892221945</v>
      </c>
      <c r="W93">
        <f>IF(F93=År1,Q93,SUM(P93,Q93))*IFERROR(VLOOKUP(A93,[1]Tørstofindhold!A$2:B$24,2,FALSE),0)</f>
        <v>434664.02979700023</v>
      </c>
      <c r="X93">
        <f>K93*IFERROR(VLOOKUP(A93,[1]Tørstofindhold!A$2:B$24,2,FALSE),0)</f>
        <v>164845.83087478075</v>
      </c>
      <c r="Y93" s="170">
        <f t="shared" si="22"/>
        <v>269818.19892221945</v>
      </c>
      <c r="Z93">
        <f t="shared" si="16"/>
        <v>0</v>
      </c>
      <c r="AA93">
        <f t="shared" si="17"/>
        <v>1</v>
      </c>
      <c r="AC93" s="94">
        <f t="shared" si="23"/>
        <v>4496969.982036991</v>
      </c>
      <c r="AD93">
        <f>AC93*E93*10000*VLOOKUP(A93,[1]kcal!$A$2:$C$49,3,FALSE)/1000000000000*IFERROR(VLOOKUP(A93,'Kategorisering af kcal'!$A$2:$E$18,MATCH('Produktion &amp; forbrug'!F93,'Kategorisering af kcal'!$A$1:$E$1,0),FALSE),0)</f>
        <v>0</v>
      </c>
      <c r="AE93">
        <f>IF(C93&lt;&gt;"",AC93*(1-IF(A93&lt;&gt;"Græs",VLOOKUP(A93,'Kategorisering af kcal'!$A$2:$E$18,MATCH('Produktion &amp; forbrug'!F93,'Kategorisering af kcal'!$A$1:$E$1,0),FALSE),HLOOKUP(F93,Græsprotein!$C$2:$E$8,7))),'Produktion &amp; forbrug'!AC93)</f>
        <v>4496969.982036991</v>
      </c>
      <c r="AF93" s="94">
        <f t="shared" si="24"/>
        <v>0</v>
      </c>
      <c r="AG93">
        <f>IF(AC93&lt;0,AD93,G93*E93*10000*VLOOKUP(A93,[1]kcal!$A$2:$C$49,3,FALSE)/1000000000000*IFERROR(VLOOKUP(A93,'Kategorisering af kcal'!$A$2:$E$18,MATCH('Produktion &amp; forbrug'!F93,'Kategorisering af kcal'!$A$1:$E$1,0),FALSE),0))</f>
        <v>0</v>
      </c>
    </row>
    <row r="94" spans="1:33" x14ac:dyDescent="0.25">
      <c r="A94" s="171" t="str">
        <f t="shared" si="12"/>
        <v>Svinegylle</v>
      </c>
      <c r="B94" s="171" t="str">
        <f t="shared" si="13"/>
        <v>Husdyrgødning</v>
      </c>
      <c r="C94" s="171" t="str">
        <f>IFERROR(VLOOKUP(A94,'Kategorisering af kcal'!$A$2:$B$18,2,FALSE),"")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5"/>
        <v>0</v>
      </c>
      <c r="F94" s="171">
        <f t="shared" si="14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12018151.612903224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9013613.7096774187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3004537.9032258061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8"/>
        <v>0</v>
      </c>
      <c r="P94" s="94">
        <f t="shared" si="19"/>
        <v>0</v>
      </c>
      <c r="Q94" s="180">
        <f t="shared" si="20"/>
        <v>9013613.7096774187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3.8830647861290326</v>
      </c>
      <c r="T94">
        <f>IFERROR(VLOOKUP(A94,[1]Biogasudbytte!$A$2:$B$18,2,FALSE)*[1]Energiindhold!$C$10,0)*K94*IFERROR(VLOOKUP(A94,Biogasanlæg!$F$3:$G$8,2,FALSE),1)</f>
        <v>3.8830647861290326</v>
      </c>
      <c r="U94" s="170">
        <f t="shared" si="21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450680.68548387097</v>
      </c>
      <c r="X94">
        <f>K94*IFERROR(VLOOKUP(A94,[1]Tørstofindhold!A$2:B$24,2,FALSE),0)</f>
        <v>450680.68548387097</v>
      </c>
      <c r="Y94" s="170">
        <f t="shared" si="22"/>
        <v>0</v>
      </c>
      <c r="Z94">
        <f t="shared" si="16"/>
        <v>0</v>
      </c>
      <c r="AA94">
        <f t="shared" si="17"/>
        <v>0</v>
      </c>
      <c r="AC94" s="94">
        <f t="shared" si="23"/>
        <v>0</v>
      </c>
      <c r="AD94">
        <f>AC94*E94*10000*VLOOKUP(A94,[1]kcal!$A$2:$C$49,3,FALSE)/1000000000000*IFERROR(VLOOKUP(A94,'Kategorisering af kcal'!$A$2:$E$18,MATCH('Produktion &amp; forbrug'!F94,'Kategorisering af kcal'!$A$1:$E$1,0),FALSE),0)</f>
        <v>0</v>
      </c>
      <c r="AE94">
        <f>IF(C94&lt;&gt;"",AC94*(1-IF(A94&lt;&gt;"Græs",VLOOKUP(A94,'Kategorisering af kcal'!$A$2:$E$18,MATCH('Produktion &amp; forbrug'!F94,'Kategorisering af kcal'!$A$1:$E$1,0),FALSE),HLOOKUP(F94,Græsprotein!$C$2:$E$8,7))),'Produktion &amp; forbrug'!AC94)</f>
        <v>0</v>
      </c>
      <c r="AF94" s="94">
        <f t="shared" si="24"/>
        <v>0</v>
      </c>
      <c r="AG94">
        <f>IF(AC94&lt;0,AD94,G94*E94*10000*VLOOKUP(A94,[1]kcal!$A$2:$C$49,3,FALSE)/1000000000000*IFERROR(VLOOKUP(A94,'Kategorisering af kcal'!$A$2:$E$18,MATCH('Produktion &amp; forbrug'!F94,'Kategorisering af kcal'!$A$1:$E$1,0),FALSE),0))</f>
        <v>0</v>
      </c>
    </row>
    <row r="95" spans="1:33" x14ac:dyDescent="0.25">
      <c r="A95" s="171" t="str">
        <f t="shared" si="12"/>
        <v>Svinekød</v>
      </c>
      <c r="B95" s="171" t="str">
        <f t="shared" si="13"/>
        <v/>
      </c>
      <c r="C95" s="171" t="str">
        <f>IFERROR(VLOOKUP(A95,'Kategorisering af kcal'!$A$2:$B$18,2,FALSE),"")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5"/>
        <v>1</v>
      </c>
      <c r="F95" s="171">
        <f t="shared" si="14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1089799.8193435918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0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8"/>
        <v>1089799.8193435918</v>
      </c>
      <c r="P95" s="94">
        <f t="shared" si="19"/>
        <v>0</v>
      </c>
      <c r="Q95" s="180">
        <f t="shared" si="20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1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2"/>
        <v>0</v>
      </c>
      <c r="Z95">
        <f t="shared" si="16"/>
        <v>0</v>
      </c>
      <c r="AA95">
        <f t="shared" si="17"/>
        <v>1</v>
      </c>
      <c r="AC95" s="94">
        <f t="shared" si="23"/>
        <v>1089799.8193435918</v>
      </c>
      <c r="AD95">
        <f>AC95*E95*10000*VLOOKUP(A95,[1]kcal!$A$2:$C$49,3,FALSE)/1000000000000*IFERROR(VLOOKUP(A95,'Kategorisering af kcal'!$A$2:$E$18,MATCH('Produktion &amp; forbrug'!F95,'Kategorisering af kcal'!$A$1:$E$1,0),FALSE),0)</f>
        <v>2.125109647720004</v>
      </c>
      <c r="AE95">
        <f>IF(C95&lt;&gt;"",AC95*(1-IF(A95&lt;&gt;"Græs",VLOOKUP(A95,'Kategorisering af kcal'!$A$2:$E$18,MATCH('Produktion &amp; forbrug'!F95,'Kategorisering af kcal'!$A$1:$E$1,0),FALSE),HLOOKUP(F95,Græsprotein!$C$2:$E$8,7))),'Produktion &amp; forbrug'!AC95)</f>
        <v>0</v>
      </c>
      <c r="AF95" s="94">
        <f t="shared" si="24"/>
        <v>1089799.8193435918</v>
      </c>
      <c r="AG95">
        <f>IF(AC95&lt;0,AD95,G95*E95*10000*VLOOKUP(A95,[1]kcal!$A$2:$C$49,3,FALSE)/1000000000000*IFERROR(VLOOKUP(A95,'Kategorisering af kcal'!$A$2:$E$18,MATCH('Produktion &amp; forbrug'!F95,'Kategorisering af kcal'!$A$1:$E$1,0),FALSE),0))</f>
        <v>2.125109647720004</v>
      </c>
    </row>
    <row r="96" spans="1:33" x14ac:dyDescent="0.25">
      <c r="A96" s="171" t="str">
        <f t="shared" si="12"/>
        <v>Tang</v>
      </c>
      <c r="B96" s="171" t="str">
        <f t="shared" si="13"/>
        <v>Havbiomasse</v>
      </c>
      <c r="C96" s="171" t="str">
        <f>IFERROR(VLOOKUP(A96,'Kategorisering af kcal'!$A$2:$B$18,2,FALSE),"")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5"/>
        <v>1</v>
      </c>
      <c r="F96" s="171">
        <f t="shared" si="14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76.5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8"/>
        <v>76.5</v>
      </c>
      <c r="P96" s="94">
        <f t="shared" si="19"/>
        <v>76.5</v>
      </c>
      <c r="Q96" s="180">
        <f t="shared" si="20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1"/>
        <v>6.8658750000000004E-5</v>
      </c>
      <c r="V96" s="169">
        <f>P96*IFERROR(VLOOKUP(A96,[1]Tørstofindhold!A$2:B$24,2,FALSE),0)</f>
        <v>11.475</v>
      </c>
      <c r="W96">
        <f>IF(F96=År1,Q96,SUM(P96,Q96))*IFERROR(VLOOKUP(A96,[1]Tørstofindhold!A$2:B$24,2,FALSE),0)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2"/>
        <v>11.475</v>
      </c>
      <c r="Z96">
        <f t="shared" si="16"/>
        <v>0</v>
      </c>
      <c r="AA96">
        <f t="shared" si="17"/>
        <v>1</v>
      </c>
      <c r="AC96" s="94">
        <f t="shared" si="23"/>
        <v>76.5</v>
      </c>
      <c r="AD96">
        <f>AC96*E96*10000*VLOOKUP(A96,[1]kcal!$A$2:$C$49,3,FALSE)/1000000000000*IFERROR(VLOOKUP(A96,'Kategorisering af kcal'!$A$2:$E$18,MATCH('Produktion &amp; forbrug'!F96,'Kategorisering af kcal'!$A$1:$E$1,0),FALSE),0)</f>
        <v>3.1211999999999999E-5</v>
      </c>
      <c r="AE96">
        <f>IF(C96&lt;&gt;"",AC96*(1-IF(A96&lt;&gt;"Græs",VLOOKUP(A96,'Kategorisering af kcal'!$A$2:$E$18,MATCH('Produktion &amp; forbrug'!F96,'Kategorisering af kcal'!$A$1:$E$1,0),FALSE),HLOOKUP(F96,Græsprotein!$C$2:$E$8,7))),'Produktion &amp; forbrug'!AC96)</f>
        <v>0</v>
      </c>
      <c r="AF96" s="94">
        <f t="shared" si="24"/>
        <v>76.5</v>
      </c>
      <c r="AG96">
        <f>IF(AC96&lt;0,AD96,G96*E96*10000*VLOOKUP(A96,[1]kcal!$A$2:$C$49,3,FALSE)/1000000000000*IFERROR(VLOOKUP(A96,'Kategorisering af kcal'!$A$2:$E$18,MATCH('Produktion &amp; forbrug'!F96,'Kategorisering af kcal'!$A$1:$E$1,0),FALSE),0))</f>
        <v>3.1211999999999999E-5</v>
      </c>
    </row>
    <row r="97" spans="1:33" x14ac:dyDescent="0.25">
      <c r="A97" s="171" t="str">
        <f t="shared" si="12"/>
        <v>Total til biogas</v>
      </c>
      <c r="B97" s="171" t="str">
        <f t="shared" si="13"/>
        <v/>
      </c>
      <c r="C97" s="171" t="str">
        <f>IFERROR(VLOOKUP(A97,'Kategorisering af kcal'!$A$2:$B$18,2,FALSE),"")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5"/>
        <v>0</v>
      </c>
      <c r="F97" s="171">
        <f t="shared" si="14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8"/>
        <v>0</v>
      </c>
      <c r="P97" s="94">
        <f t="shared" si="19"/>
        <v>0</v>
      </c>
      <c r="Q97" s="180">
        <f t="shared" si="20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1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2"/>
        <v>0</v>
      </c>
      <c r="Z97">
        <f t="shared" si="16"/>
        <v>0</v>
      </c>
      <c r="AA97">
        <f t="shared" si="17"/>
        <v>0</v>
      </c>
      <c r="AC97" s="94">
        <f t="shared" si="23"/>
        <v>0</v>
      </c>
      <c r="AD97">
        <f>AC97*E97*10000*VLOOKUP(A97,[1]kcal!$A$2:$C$49,3,FALSE)/1000000000000*IFERROR(VLOOKUP(A97,'Kategorisering af kcal'!$A$2:$E$18,MATCH('Produktion &amp; forbrug'!F97,'Kategorisering af kcal'!$A$1:$E$1,0),FALSE),0)</f>
        <v>0</v>
      </c>
      <c r="AE97">
        <f>IF(C97&lt;&gt;"",AC97*(1-IF(A97&lt;&gt;"Græs",VLOOKUP(A97,'Kategorisering af kcal'!$A$2:$E$18,MATCH('Produktion &amp; forbrug'!F97,'Kategorisering af kcal'!$A$1:$E$1,0),FALSE),HLOOKUP(F97,Græsprotein!$C$2:$E$8,7))),'Produktion &amp; forbrug'!AC97)</f>
        <v>0</v>
      </c>
      <c r="AF97" s="94">
        <f t="shared" si="24"/>
        <v>0</v>
      </c>
      <c r="AG97">
        <f>IF(AC97&lt;0,AD97,G97*E97*10000*VLOOKUP(A97,[1]kcal!$A$2:$C$49,3,FALSE)/1000000000000*IFERROR(VLOOKUP(A97,'Kategorisering af kcal'!$A$2:$E$18,MATCH('Produktion &amp; forbrug'!F97,'Kategorisering af kcal'!$A$1:$E$1,0),FALSE),0))</f>
        <v>0</v>
      </c>
    </row>
    <row r="98" spans="1:33" x14ac:dyDescent="0.25">
      <c r="A98" s="171" t="str">
        <f t="shared" si="12"/>
        <v>Træ til energi</v>
      </c>
      <c r="B98" s="171" t="str">
        <f t="shared" si="13"/>
        <v>Vedmasse</v>
      </c>
      <c r="C98" s="171" t="str">
        <f>IFERROR(VLOOKUP(A98,'Kategorisering af kcal'!$A$2:$B$18,2,FALSE),"")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5"/>
        <v>0</v>
      </c>
      <c r="F98" s="171">
        <f t="shared" si="14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2858758.2285455461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2858758.2285455461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8"/>
        <v>0</v>
      </c>
      <c r="P98" s="94">
        <f t="shared" ca="1" si="19"/>
        <v>0</v>
      </c>
      <c r="Q98" s="180">
        <f t="shared" ca="1" si="20"/>
        <v>2858758.2285455461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41.433609356083267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1"/>
        <v>41.433609356083267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1413894.1738681514</v>
      </c>
      <c r="X98">
        <f>K98*IFERROR(VLOOKUP(A98,[1]Tørstofindhold!A$2:B$24,2,FALSE),0)</f>
        <v>0</v>
      </c>
      <c r="Y98" s="170">
        <f t="shared" ca="1" si="22"/>
        <v>1413894.1738681514</v>
      </c>
      <c r="Z98">
        <f t="shared" ca="1" si="16"/>
        <v>0</v>
      </c>
      <c r="AA98">
        <f t="shared" ca="1" si="17"/>
        <v>0</v>
      </c>
      <c r="AC98" s="94">
        <f t="shared" ca="1" si="23"/>
        <v>2858758.2285455461</v>
      </c>
      <c r="AD98">
        <f ca="1">AC98*E98*10000*VLOOKUP(A98,[1]kcal!$A$2:$C$49,3,FALSE)/1000000000000*IFERROR(VLOOKUP(A98,'Kategorisering af kcal'!$A$2:$E$18,MATCH('Produktion &amp; forbrug'!F98,'Kategorisering af kcal'!$A$1:$E$1,0),FALSE),0)</f>
        <v>0</v>
      </c>
      <c r="AE98">
        <f ca="1">IF(C98&lt;&gt;"",AC98*(1-IF(A98&lt;&gt;"Græs",VLOOKUP(A98,'Kategorisering af kcal'!$A$2:$E$18,MATCH('Produktion &amp; forbrug'!F98,'Kategorisering af kcal'!$A$1:$E$1,0),FALSE),HLOOKUP(F98,Græsprotein!$C$2:$E$8,7))),'Produktion &amp; forbrug'!AC98)</f>
        <v>2858758.2285455461</v>
      </c>
      <c r="AF98" s="94">
        <f t="shared" ca="1" si="24"/>
        <v>0</v>
      </c>
      <c r="AG98">
        <f ca="1">IF(AC98&lt;0,AD98,G98*E98*10000*VLOOKUP(A98,[1]kcal!$A$2:$C$49,3,FALSE)/1000000000000*IFERROR(VLOOKUP(A98,'Kategorisering af kcal'!$A$2:$E$18,MATCH('Produktion &amp; forbrug'!F98,'Kategorisering af kcal'!$A$1:$E$1,0),FALSE),0))</f>
        <v>0</v>
      </c>
    </row>
    <row r="99" spans="1:33" x14ac:dyDescent="0.25">
      <c r="A99" s="171" t="str">
        <f t="shared" si="12"/>
        <v>Træmaterialer</v>
      </c>
      <c r="B99" s="171" t="str">
        <f t="shared" si="13"/>
        <v/>
      </c>
      <c r="C99" s="171" t="str">
        <f>IFERROR(VLOOKUP(A99,'Kategorisering af kcal'!$A$2:$B$18,2,FALSE),"")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5"/>
        <v>0</v>
      </c>
      <c r="F99" s="171">
        <f t="shared" si="14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789510.6267450063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789510.6267450063</v>
      </c>
      <c r="O99" s="179">
        <f t="shared" ca="1" si="18"/>
        <v>0</v>
      </c>
      <c r="P99" s="94">
        <f t="shared" si="19"/>
        <v>0</v>
      </c>
      <c r="Q99" s="180">
        <f t="shared" si="20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1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2"/>
        <v>0</v>
      </c>
      <c r="Z99">
        <f t="shared" ca="1" si="16"/>
        <v>0</v>
      </c>
      <c r="AA99">
        <f t="shared" ca="1" si="17"/>
        <v>0</v>
      </c>
      <c r="AC99" s="94">
        <f t="shared" ca="1" si="23"/>
        <v>0</v>
      </c>
      <c r="AD99">
        <f ca="1">AC99*E99*10000*VLOOKUP(A99,[1]kcal!$A$2:$C$49,3,FALSE)/1000000000000*IFERROR(VLOOKUP(A99,'Kategorisering af kcal'!$A$2:$E$18,MATCH('Produktion &amp; forbrug'!F99,'Kategorisering af kcal'!$A$1:$E$1,0),FALSE),0)</f>
        <v>0</v>
      </c>
      <c r="AE99">
        <f ca="1">IF(C99&lt;&gt;"",AC99*(1-IF(A99&lt;&gt;"Græs",VLOOKUP(A99,'Kategorisering af kcal'!$A$2:$E$18,MATCH('Produktion &amp; forbrug'!F99,'Kategorisering af kcal'!$A$1:$E$1,0),FALSE),HLOOKUP(F99,Græsprotein!$C$2:$E$8,7))),'Produktion &amp; forbrug'!AC99)</f>
        <v>0</v>
      </c>
      <c r="AF99" s="94">
        <f t="shared" ca="1" si="24"/>
        <v>0</v>
      </c>
      <c r="AG99">
        <f ca="1">IF(AC99&lt;0,AD99,G99*E99*10000*VLOOKUP(A99,[1]kcal!$A$2:$C$49,3,FALSE)/1000000000000*IFERROR(VLOOKUP(A99,'Kategorisering af kcal'!$A$2:$E$18,MATCH('Produktion &amp; forbrug'!F99,'Kategorisering af kcal'!$A$1:$E$1,0),FALSE),0))</f>
        <v>0</v>
      </c>
    </row>
    <row r="100" spans="1:33" x14ac:dyDescent="0.25">
      <c r="A100" s="171" t="str">
        <f t="shared" si="12"/>
        <v>Æg</v>
      </c>
      <c r="B100" s="171" t="str">
        <f t="shared" si="13"/>
        <v/>
      </c>
      <c r="C100" s="171" t="str">
        <f>IFERROR(VLOOKUP(A100,'Kategorisering af kcal'!$A$2:$B$18,2,FALSE),"")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5"/>
        <v>1</v>
      </c>
      <c r="F100" s="171">
        <f t="shared" ref="F100:F147" si="25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0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8"/>
        <v>42217.628788690155</v>
      </c>
      <c r="P100" s="94">
        <f t="shared" si="19"/>
        <v>0</v>
      </c>
      <c r="Q100" s="180">
        <f t="shared" si="20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1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2"/>
        <v>0</v>
      </c>
      <c r="Z100">
        <f t="shared" ref="Z100:Z131" si="26">IF(SUMIFS($O$4:$O$147,$A$4:$A$147,A100,$F$4:$F$147,F100)&lt;0,1,0)</f>
        <v>0</v>
      </c>
      <c r="AA100">
        <f t="shared" ref="AA100:AA131" si="27">IF(SUMIFS($O$4:$O$147,$A$4:$A$147,A100,$F$4:$F$147,F100)&gt;0,1,0)</f>
        <v>1</v>
      </c>
      <c r="AC100" s="94">
        <f t="shared" si="23"/>
        <v>42217.628788690155</v>
      </c>
      <c r="AD100">
        <f>AC100*E100*10000*VLOOKUP(A100,[1]kcal!$A$2:$C$49,3,FALSE)/1000000000000*IFERROR(VLOOKUP(A100,'Kategorisering af kcal'!$A$2:$E$18,MATCH('Produktion &amp; forbrug'!F100,'Kategorisering af kcal'!$A$1:$E$1,0),FALSE),0)</f>
        <v>5.8260327728392416E-2</v>
      </c>
      <c r="AE100">
        <f>IF(C100&lt;&gt;"",AC100*(1-IF(A100&lt;&gt;"Græs",VLOOKUP(A100,'Kategorisering af kcal'!$A$2:$E$18,MATCH('Produktion &amp; forbrug'!F100,'Kategorisering af kcal'!$A$1:$E$1,0),FALSE),HLOOKUP(F100,Græsprotein!$C$2:$E$8,7))),'Produktion &amp; forbrug'!AC100)</f>
        <v>0</v>
      </c>
      <c r="AF100" s="94">
        <f t="shared" si="24"/>
        <v>42217.628788690155</v>
      </c>
      <c r="AG100">
        <f>IF(AC100&lt;0,AD100,G100*E100*10000*VLOOKUP(A100,[1]kcal!$A$2:$C$49,3,FALSE)/1000000000000*IFERROR(VLOOKUP(A100,'Kategorisering af kcal'!$A$2:$E$18,MATCH('Produktion &amp; forbrug'!F100,'Kategorisering af kcal'!$A$1:$E$1,0),FALSE),0))</f>
        <v>5.8260327728392416E-2</v>
      </c>
    </row>
    <row r="101" spans="1:33" x14ac:dyDescent="0.25">
      <c r="A101" s="171" t="str">
        <f t="shared" si="12"/>
        <v>Bælgsæd</v>
      </c>
      <c r="B101" s="171" t="str">
        <f t="shared" si="13"/>
        <v/>
      </c>
      <c r="C101" s="171" t="str">
        <f>IFERROR(VLOOKUP(A101,'Kategorisering af kcal'!$A$2:$B$18,2,FALSE),"")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5"/>
        <v>1</v>
      </c>
      <c r="F101" s="171">
        <f t="shared" si="25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891576.46333224361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6127.8304883672272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8"/>
        <v>885448.63284387637</v>
      </c>
      <c r="P101" s="94">
        <f t="shared" si="19"/>
        <v>0</v>
      </c>
      <c r="Q101" s="180">
        <f t="shared" si="20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1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2"/>
        <v>0</v>
      </c>
      <c r="Z101">
        <f t="shared" si="26"/>
        <v>0</v>
      </c>
      <c r="AA101">
        <f t="shared" si="27"/>
        <v>1</v>
      </c>
      <c r="AC101" s="94">
        <f t="shared" si="23"/>
        <v>885448.63284387637</v>
      </c>
      <c r="AD101">
        <f>AC101*E101*10000*VLOOKUP(A101,[1]kcal!$A$2:$C$49,3,FALSE)/1000000000000*IFERROR(VLOOKUP(A101,'Kategorisering af kcal'!$A$2:$E$18,MATCH('Produktion &amp; forbrug'!F101,'Kategorisering af kcal'!$A$1:$E$1,0),FALSE),0)</f>
        <v>6.1494407551007217</v>
      </c>
      <c r="AE101">
        <f>IF(C101&lt;&gt;"",AC101*(1-IF(A101&lt;&gt;"Græs",VLOOKUP(A101,'Kategorisering af kcal'!$A$2:$E$18,MATCH('Produktion &amp; forbrug'!F101,'Kategorisering af kcal'!$A$1:$E$1,0),FALSE),HLOOKUP(F101,Græsprotein!$C$2:$E$8,7))),'Produktion &amp; forbrug'!AC101)</f>
        <v>0</v>
      </c>
      <c r="AF101" s="94">
        <f t="shared" si="24"/>
        <v>885448.63284387637</v>
      </c>
      <c r="AG101">
        <f>IF(AC101&lt;0,AD101,G101*E101*10000*VLOOKUP(A101,[1]kcal!$A$2:$C$49,3,FALSE)/1000000000000*IFERROR(VLOOKUP(A101,'Kategorisering af kcal'!$A$2:$E$18,MATCH('Produktion &amp; forbrug'!F101,'Kategorisering af kcal'!$A$1:$E$1,0),FALSE),0))</f>
        <v>6.1919985378424318</v>
      </c>
    </row>
    <row r="102" spans="1:33" x14ac:dyDescent="0.25">
      <c r="A102" s="171" t="str">
        <f t="shared" si="12"/>
        <v>Bioaffald</v>
      </c>
      <c r="B102" s="171" t="str">
        <f t="shared" si="13"/>
        <v>Bionedbrydeligt affald</v>
      </c>
      <c r="C102" s="171" t="str">
        <f>IFERROR(VLOOKUP(A102,'Kategorisering af kcal'!$A$2:$B$18,2,FALSE),"")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5"/>
        <v>0</v>
      </c>
      <c r="F102" s="171">
        <f t="shared" si="25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8"/>
        <v>0</v>
      </c>
      <c r="P102" s="94">
        <f t="shared" ca="1" si="19"/>
        <v>0</v>
      </c>
      <c r="Q102" s="180">
        <f t="shared" ca="1" si="20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1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2"/>
        <v>103537.50823068788</v>
      </c>
      <c r="Z102">
        <f t="shared" ca="1" si="26"/>
        <v>0</v>
      </c>
      <c r="AA102">
        <f t="shared" ca="1" si="27"/>
        <v>0</v>
      </c>
      <c r="AC102" s="94">
        <f t="shared" ca="1" si="23"/>
        <v>369776.8151095995</v>
      </c>
      <c r="AD102">
        <f ca="1">AC102*E102*10000*VLOOKUP(A102,[1]kcal!$A$2:$C$49,3,FALSE)/1000000000000*IFERROR(VLOOKUP(A102,'Kategorisering af kcal'!$A$2:$E$18,MATCH('Produktion &amp; forbrug'!F102,'Kategorisering af kcal'!$A$1:$E$1,0),FALSE),0)</f>
        <v>0</v>
      </c>
      <c r="AE102">
        <f ca="1">IF(C102&lt;&gt;"",AC102*(1-IF(A102&lt;&gt;"Græs",VLOOKUP(A102,'Kategorisering af kcal'!$A$2:$E$18,MATCH('Produktion &amp; forbrug'!F102,'Kategorisering af kcal'!$A$1:$E$1,0),FALSE),HLOOKUP(F102,Græsprotein!$C$2:$E$8,7))),'Produktion &amp; forbrug'!AC102)</f>
        <v>369776.8151095995</v>
      </c>
      <c r="AF102" s="94">
        <f t="shared" ca="1" si="24"/>
        <v>0</v>
      </c>
      <c r="AG102">
        <f ca="1">IF(AC102&lt;0,AD102,G102*E102*10000*VLOOKUP(A102,[1]kcal!$A$2:$C$49,3,FALSE)/1000000000000*IFERROR(VLOOKUP(A102,'Kategorisering af kcal'!$A$2:$E$18,MATCH('Produktion &amp; forbrug'!F102,'Kategorisering af kcal'!$A$1:$E$1,0),FALSE),0))</f>
        <v>0</v>
      </c>
    </row>
    <row r="103" spans="1:33" x14ac:dyDescent="0.25">
      <c r="A103" s="171" t="str">
        <f t="shared" si="12"/>
        <v>Biogas</v>
      </c>
      <c r="B103" s="171" t="str">
        <f t="shared" si="13"/>
        <v/>
      </c>
      <c r="C103" s="171" t="str">
        <f>IFERROR(VLOOKUP(A103,'Kategorisering af kcal'!$A$2:$B$18,2,FALSE),"")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5"/>
        <v>0</v>
      </c>
      <c r="F103" s="171">
        <f t="shared" si="25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178249487.6771352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178249487.6771352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8"/>
        <v>0</v>
      </c>
      <c r="P103" s="94">
        <f t="shared" ca="1" si="19"/>
        <v>0</v>
      </c>
      <c r="Q103" s="180">
        <f t="shared" ca="1" si="20"/>
        <v>178249487.6771352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1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2"/>
        <v>0</v>
      </c>
      <c r="Z103">
        <f t="shared" ca="1" si="26"/>
        <v>0</v>
      </c>
      <c r="AA103">
        <f t="shared" ca="1" si="27"/>
        <v>0</v>
      </c>
      <c r="AC103" s="94">
        <f t="shared" ca="1" si="23"/>
        <v>178249487.6771352</v>
      </c>
      <c r="AD103">
        <f ca="1">AC103*E103*10000*VLOOKUP(A103,[1]kcal!$A$2:$C$49,3,FALSE)/1000000000000*IFERROR(VLOOKUP(A103,'Kategorisering af kcal'!$A$2:$E$18,MATCH('Produktion &amp; forbrug'!F103,'Kategorisering af kcal'!$A$1:$E$1,0),FALSE),0)</f>
        <v>0</v>
      </c>
      <c r="AE103">
        <f ca="1">IF(C103&lt;&gt;"",AC103*(1-IF(A103&lt;&gt;"Græs",VLOOKUP(A103,'Kategorisering af kcal'!$A$2:$E$18,MATCH('Produktion &amp; forbrug'!F103,'Kategorisering af kcal'!$A$1:$E$1,0),FALSE),HLOOKUP(F103,Græsprotein!$C$2:$E$8,7))),'Produktion &amp; forbrug'!AC103)</f>
        <v>178249487.6771352</v>
      </c>
      <c r="AF103" s="94">
        <f t="shared" ca="1" si="24"/>
        <v>0</v>
      </c>
      <c r="AG103">
        <f ca="1">IF(AC103&lt;0,AD103,G103*E103*10000*VLOOKUP(A103,[1]kcal!$A$2:$C$49,3,FALSE)/1000000000000*IFERROR(VLOOKUP(A103,'Kategorisering af kcal'!$A$2:$E$18,MATCH('Produktion &amp; forbrug'!F103,'Kategorisering af kcal'!$A$1:$E$1,0),FALSE),0))</f>
        <v>0</v>
      </c>
    </row>
    <row r="104" spans="1:33" x14ac:dyDescent="0.25">
      <c r="A104" s="171" t="str">
        <f t="shared" si="12"/>
        <v>Biogasgylle</v>
      </c>
      <c r="B104" s="171" t="str">
        <f t="shared" si="13"/>
        <v/>
      </c>
      <c r="C104" s="171" t="str">
        <f>IFERROR(VLOOKUP(A104,'Kategorisering af kcal'!$A$2:$B$18,2,FALSE),"")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5"/>
        <v>0</v>
      </c>
      <c r="F104" s="171">
        <f t="shared" si="25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9162173.1315538213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225600.4272515444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8"/>
        <v>8936572.7043022774</v>
      </c>
      <c r="P104" s="94">
        <f t="shared" si="19"/>
        <v>0</v>
      </c>
      <c r="Q104" s="180">
        <f t="shared" si="20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1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2"/>
        <v>0</v>
      </c>
      <c r="Z104">
        <f t="shared" ca="1" si="26"/>
        <v>0</v>
      </c>
      <c r="AA104">
        <f t="shared" ca="1" si="27"/>
        <v>1</v>
      </c>
      <c r="AC104" s="94">
        <f t="shared" ca="1" si="23"/>
        <v>8936572.7043022774</v>
      </c>
      <c r="AD104">
        <f ca="1">AC104*E104*10000*VLOOKUP(A104,[1]kcal!$A$2:$C$49,3,FALSE)/1000000000000*IFERROR(VLOOKUP(A104,'Kategorisering af kcal'!$A$2:$E$18,MATCH('Produktion &amp; forbrug'!F104,'Kategorisering af kcal'!$A$1:$E$1,0),FALSE),0)</f>
        <v>0</v>
      </c>
      <c r="AE104">
        <f ca="1">IF(C104&lt;&gt;"",AC104*(1-IF(A104&lt;&gt;"Græs",VLOOKUP(A104,'Kategorisering af kcal'!$A$2:$E$18,MATCH('Produktion &amp; forbrug'!F104,'Kategorisering af kcal'!$A$1:$E$1,0),FALSE),HLOOKUP(F104,Græsprotein!$C$2:$E$8,7))),'Produktion &amp; forbrug'!AC104)</f>
        <v>8936572.7043022774</v>
      </c>
      <c r="AF104" s="94">
        <f t="shared" ca="1" si="24"/>
        <v>0</v>
      </c>
      <c r="AG104">
        <f ca="1">IF(AC104&lt;0,AD104,G104*E104*10000*VLOOKUP(A104,[1]kcal!$A$2:$C$49,3,FALSE)/1000000000000*IFERROR(VLOOKUP(A104,'Kategorisering af kcal'!$A$2:$E$18,MATCH('Produktion &amp; forbrug'!F104,'Kategorisering af kcal'!$A$1:$E$1,0),FALSE),0))</f>
        <v>0</v>
      </c>
    </row>
    <row r="105" spans="1:33" x14ac:dyDescent="0.25">
      <c r="A105" s="171" t="str">
        <f t="shared" si="12"/>
        <v>Brun saft</v>
      </c>
      <c r="B105" s="171" t="str">
        <f t="shared" si="13"/>
        <v>Bionedbrydeligt affald</v>
      </c>
      <c r="C105" s="171" t="str">
        <f>IFERROR(VLOOKUP(A105,'Kategorisering af kcal'!$A$2:$B$18,2,FALSE),"")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5"/>
        <v>0</v>
      </c>
      <c r="F105" s="171">
        <f t="shared" si="25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7178540.3690576199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6460686.3321518581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8"/>
        <v>717854.03690576181</v>
      </c>
      <c r="P105" s="94">
        <f t="shared" si="19"/>
        <v>717854.03690576181</v>
      </c>
      <c r="Q105" s="180">
        <f t="shared" si="20"/>
        <v>6460686.3321518581</v>
      </c>
      <c r="R105">
        <f>IFERROR(VLOOKUP(A105,[1]Energiindhold!$A$2:$C$11,3,FALSE),IFERROR(VLOOKUP(A105,[1]Biogasudbytte!$A$2:$B$18,2,FALSE)*[1]Energiindhold!$C$10,0))*P105</f>
        <v>0.40775981239853953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4.0775981239853962</v>
      </c>
      <c r="T105">
        <f>IFERROR(VLOOKUP(A105,[1]Biogasudbytte!$A$2:$B$18,2,FALSE)*[1]Energiindhold!$C$10,0)*K105*IFERROR(VLOOKUP(A105,Biogasanlæg!$F$3:$G$8,2,FALSE),1)</f>
        <v>3.6698383115868567</v>
      </c>
      <c r="U105" s="170">
        <f t="shared" si="21"/>
        <v>0.40775981239853953</v>
      </c>
      <c r="V105" s="169">
        <f>P105*IFERROR(VLOOKUP(A105,[1]Tørstofindhold!A$2:B$24,2,FALSE),0)</f>
        <v>30697.870390615033</v>
      </c>
      <c r="W105">
        <f>IF(F105=År1,Q105,SUM(P105,Q105))*IFERROR(VLOOKUP(A105,[1]Tørstofindhold!A$2:B$24,2,FALSE),0)</f>
        <v>306978.70390615042</v>
      </c>
      <c r="X105">
        <f>K105*IFERROR(VLOOKUP(A105,[1]Tørstofindhold!A$2:B$24,2,FALSE),0)</f>
        <v>276280.83351553534</v>
      </c>
      <c r="Y105" s="170">
        <f t="shared" si="22"/>
        <v>30697.870390615077</v>
      </c>
      <c r="Z105">
        <f t="shared" si="26"/>
        <v>0</v>
      </c>
      <c r="AA105">
        <f t="shared" si="27"/>
        <v>1</v>
      </c>
      <c r="AC105" s="94">
        <f t="shared" si="23"/>
        <v>717854.03690576181</v>
      </c>
      <c r="AD105">
        <f>AC105*E105*10000*VLOOKUP(A105,[1]kcal!$A$2:$C$49,3,FALSE)/1000000000000*IFERROR(VLOOKUP(A105,'Kategorisering af kcal'!$A$2:$E$18,MATCH('Produktion &amp; forbrug'!F105,'Kategorisering af kcal'!$A$1:$E$1,0),FALSE),0)</f>
        <v>0</v>
      </c>
      <c r="AE105">
        <f>IF(C105&lt;&gt;"",AC105*(1-IF(A105&lt;&gt;"Græs",VLOOKUP(A105,'Kategorisering af kcal'!$A$2:$E$18,MATCH('Produktion &amp; forbrug'!F105,'Kategorisering af kcal'!$A$1:$E$1,0),FALSE),HLOOKUP(F105,Græsprotein!$C$2:$E$8,7))),'Produktion &amp; forbrug'!AC105)</f>
        <v>717854.03690576181</v>
      </c>
      <c r="AF105" s="94">
        <f t="shared" si="24"/>
        <v>0</v>
      </c>
      <c r="AG105">
        <f>IF(AC105&lt;0,AD105,G105*E105*10000*VLOOKUP(A105,[1]kcal!$A$2:$C$49,3,FALSE)/1000000000000*IFERROR(VLOOKUP(A105,'Kategorisering af kcal'!$A$2:$E$18,MATCH('Produktion &amp; forbrug'!F105,'Kategorisering af kcal'!$A$1:$E$1,0),FALSE),0))</f>
        <v>0</v>
      </c>
    </row>
    <row r="106" spans="1:33" x14ac:dyDescent="0.25">
      <c r="A106" s="171" t="str">
        <f t="shared" si="12"/>
        <v>Dybstrøelse</v>
      </c>
      <c r="B106" s="171" t="str">
        <f t="shared" si="13"/>
        <v>Husdyrgødning</v>
      </c>
      <c r="C106" s="171" t="str">
        <f>IFERROR(VLOOKUP(A106,'Kategorisering af kcal'!$A$2:$B$18,2,FALSE),"")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5"/>
        <v>0</v>
      </c>
      <c r="F106" s="171">
        <f t="shared" si="25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657661.09779742733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591894.98801768455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24897.170130902599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8"/>
        <v>40868.939648840227</v>
      </c>
      <c r="P106" s="94">
        <f t="shared" si="19"/>
        <v>40868.939648840227</v>
      </c>
      <c r="Q106" s="180">
        <f t="shared" si="20"/>
        <v>591894.98801768455</v>
      </c>
      <c r="R106">
        <f>IFERROR(VLOOKUP(A106,[1]Energiindhold!$A$2:$C$11,3,FALSE),IFERROR(VLOOKUP(A106,[1]Biogasudbytte!$A$2:$B$18,2,FALSE)*[1]Energiindhold!$C$10,0))*P106</f>
        <v>8.8031696003601848E-2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1.3629735001936945</v>
      </c>
      <c r="T106">
        <f>IFERROR(VLOOKUP(A106,[1]Biogasudbytte!$A$2:$B$18,2,FALSE)*[1]Energiindhold!$C$10,0)*K106*IFERROR(VLOOKUP(A106,Biogasanlæg!$F$3:$G$8,2,FALSE),1)</f>
        <v>1.2749418041900926</v>
      </c>
      <c r="U106" s="170">
        <f t="shared" si="21"/>
        <v>8.8031696003601834E-2</v>
      </c>
      <c r="V106" s="169">
        <f>P106*IFERROR(VLOOKUP(A106,[1]Tørstofindhold!A$2:B$24,2,FALSE),0)</f>
        <v>12260.681894652067</v>
      </c>
      <c r="W106">
        <f>IF(F106=År1,Q106,SUM(P106,Q106))*IFERROR(VLOOKUP(A106,[1]Tørstofindhold!A$2:B$24,2,FALSE),0)</f>
        <v>189829.17829995742</v>
      </c>
      <c r="X106">
        <f>K106*IFERROR(VLOOKUP(A106,[1]Tørstofindhold!A$2:B$24,2,FALSE),0)</f>
        <v>177568.49640530537</v>
      </c>
      <c r="Y106" s="170">
        <f t="shared" si="22"/>
        <v>12260.681894652051</v>
      </c>
      <c r="Z106">
        <f t="shared" si="26"/>
        <v>0</v>
      </c>
      <c r="AA106">
        <f t="shared" si="27"/>
        <v>1</v>
      </c>
      <c r="AC106" s="94">
        <f t="shared" si="23"/>
        <v>40868.939648840227</v>
      </c>
      <c r="AD106">
        <f>AC106*E106*10000*VLOOKUP(A106,[1]kcal!$A$2:$C$49,3,FALSE)/1000000000000*IFERROR(VLOOKUP(A106,'Kategorisering af kcal'!$A$2:$E$18,MATCH('Produktion &amp; forbrug'!F106,'Kategorisering af kcal'!$A$1:$E$1,0),FALSE),0)</f>
        <v>0</v>
      </c>
      <c r="AE106">
        <f>IF(C106&lt;&gt;"",AC106*(1-IF(A106&lt;&gt;"Græs",VLOOKUP(A106,'Kategorisering af kcal'!$A$2:$E$18,MATCH('Produktion &amp; forbrug'!F106,'Kategorisering af kcal'!$A$1:$E$1,0),FALSE),HLOOKUP(F106,Græsprotein!$C$2:$E$8,7))),'Produktion &amp; forbrug'!AC106)</f>
        <v>40868.939648840227</v>
      </c>
      <c r="AF106" s="94">
        <f t="shared" si="24"/>
        <v>0</v>
      </c>
      <c r="AG106">
        <f>IF(AC106&lt;0,AD106,G106*E106*10000*VLOOKUP(A106,[1]kcal!$A$2:$C$49,3,FALSE)/1000000000000*IFERROR(VLOOKUP(A106,'Kategorisering af kcal'!$A$2:$E$18,MATCH('Produktion &amp; forbrug'!F106,'Kategorisering af kcal'!$A$1:$E$1,0),FALSE),0))</f>
        <v>0</v>
      </c>
    </row>
    <row r="107" spans="1:33" x14ac:dyDescent="0.25">
      <c r="A107" s="171" t="str">
        <f t="shared" si="12"/>
        <v>Fiberfraktion</v>
      </c>
      <c r="B107" s="171" t="str">
        <f t="shared" si="13"/>
        <v>Fiberfraktion</v>
      </c>
      <c r="C107" s="171" t="str">
        <f>IFERROR(VLOOKUP(A107,'Kategorisering af kcal'!$A$2:$B$18,2,FALSE),"")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5"/>
        <v>0</v>
      </c>
      <c r="F107" s="171">
        <f t="shared" si="25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5056119.8290424775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783977.36006031989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8"/>
        <v>4272142.4689821573</v>
      </c>
      <c r="P107" s="94">
        <f t="shared" si="19"/>
        <v>0</v>
      </c>
      <c r="Q107" s="180">
        <f t="shared" si="20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1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2"/>
        <v>0</v>
      </c>
      <c r="Z107">
        <f t="shared" si="26"/>
        <v>0</v>
      </c>
      <c r="AA107">
        <f t="shared" si="27"/>
        <v>1</v>
      </c>
      <c r="AC107" s="94">
        <f t="shared" si="23"/>
        <v>4272142.4689821573</v>
      </c>
      <c r="AD107">
        <f>AC107*E107*10000*VLOOKUP(A107,[1]kcal!$A$2:$C$49,3,FALSE)/1000000000000*IFERROR(VLOOKUP(A107,'Kategorisering af kcal'!$A$2:$E$18,MATCH('Produktion &amp; forbrug'!F107,'Kategorisering af kcal'!$A$1:$E$1,0),FALSE),0)</f>
        <v>0</v>
      </c>
      <c r="AE107">
        <f>IF(C107&lt;&gt;"",AC107*(1-IF(A107&lt;&gt;"Græs",VLOOKUP(A107,'Kategorisering af kcal'!$A$2:$E$18,MATCH('Produktion &amp; forbrug'!F107,'Kategorisering af kcal'!$A$1:$E$1,0),FALSE),HLOOKUP(F107,Græsprotein!$C$2:$E$8,7))),'Produktion &amp; forbrug'!AC107)</f>
        <v>4272142.4689821573</v>
      </c>
      <c r="AF107" s="94">
        <f t="shared" si="24"/>
        <v>0</v>
      </c>
      <c r="AG107">
        <f>IF(AC107&lt;0,AD107,G107*E107*10000*VLOOKUP(A107,[1]kcal!$A$2:$C$49,3,FALSE)/1000000000000*IFERROR(VLOOKUP(A107,'Kategorisering af kcal'!$A$2:$E$18,MATCH('Produktion &amp; forbrug'!F107,'Kategorisering af kcal'!$A$1:$E$1,0),FALSE),0))</f>
        <v>0</v>
      </c>
    </row>
    <row r="108" spans="1:33" x14ac:dyDescent="0.25">
      <c r="A108" s="171" t="str">
        <f t="shared" si="12"/>
        <v>Fjerkrægylle</v>
      </c>
      <c r="B108" s="171" t="str">
        <f t="shared" si="13"/>
        <v>Husdyrgødning</v>
      </c>
      <c r="C108" s="171" t="str">
        <f>IFERROR(VLOOKUP(A108,'Kategorisering af kcal'!$A$2:$B$18,2,FALSE),"")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5"/>
        <v>0</v>
      </c>
      <c r="F108" s="171">
        <f t="shared" si="25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8"/>
        <v>0</v>
      </c>
      <c r="P108" s="94">
        <f t="shared" si="19"/>
        <v>0</v>
      </c>
      <c r="Q108" s="180">
        <f t="shared" si="20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1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2"/>
        <v>0</v>
      </c>
      <c r="Z108">
        <f t="shared" si="26"/>
        <v>0</v>
      </c>
      <c r="AA108">
        <f t="shared" si="27"/>
        <v>0</v>
      </c>
      <c r="AC108" s="94">
        <f t="shared" si="23"/>
        <v>0</v>
      </c>
      <c r="AD108">
        <f>AC108*E108*10000*VLOOKUP(A108,[1]kcal!$A$2:$C$49,3,FALSE)/1000000000000*IFERROR(VLOOKUP(A108,'Kategorisering af kcal'!$A$2:$E$18,MATCH('Produktion &amp; forbrug'!F108,'Kategorisering af kcal'!$A$1:$E$1,0),FALSE),0)</f>
        <v>0</v>
      </c>
      <c r="AE108">
        <f>IF(C108&lt;&gt;"",AC108*(1-IF(A108&lt;&gt;"Græs",VLOOKUP(A108,'Kategorisering af kcal'!$A$2:$E$18,MATCH('Produktion &amp; forbrug'!F108,'Kategorisering af kcal'!$A$1:$E$1,0),FALSE),HLOOKUP(F108,Græsprotein!$C$2:$E$8,7))),'Produktion &amp; forbrug'!AC108)</f>
        <v>0</v>
      </c>
      <c r="AF108" s="94">
        <f t="shared" si="24"/>
        <v>0</v>
      </c>
      <c r="AG108">
        <f>IF(AC108&lt;0,AD108,G108*E108*10000*VLOOKUP(A108,[1]kcal!$A$2:$C$49,3,FALSE)/1000000000000*IFERROR(VLOOKUP(A108,'Kategorisering af kcal'!$A$2:$E$18,MATCH('Produktion &amp; forbrug'!F108,'Kategorisering af kcal'!$A$1:$E$1,0),FALSE),0))</f>
        <v>0</v>
      </c>
    </row>
    <row r="109" spans="1:33" x14ac:dyDescent="0.25">
      <c r="A109" s="171" t="str">
        <f t="shared" si="12"/>
        <v>Fjerkrækød</v>
      </c>
      <c r="B109" s="171" t="str">
        <f t="shared" si="13"/>
        <v/>
      </c>
      <c r="C109" s="171" t="str">
        <f>IFERROR(VLOOKUP(A109,'Kategorisering af kcal'!$A$2:$B$18,2,FALSE),"")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5"/>
        <v>1</v>
      </c>
      <c r="F109" s="171">
        <f t="shared" si="25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0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8"/>
        <v>6505.3390543143432</v>
      </c>
      <c r="P109" s="94">
        <f t="shared" si="19"/>
        <v>0</v>
      </c>
      <c r="Q109" s="180">
        <f t="shared" si="20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1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2"/>
        <v>0</v>
      </c>
      <c r="Z109">
        <f t="shared" si="26"/>
        <v>0</v>
      </c>
      <c r="AA109">
        <f t="shared" si="27"/>
        <v>1</v>
      </c>
      <c r="AC109" s="94">
        <f t="shared" si="23"/>
        <v>6505.3390543143432</v>
      </c>
      <c r="AD109">
        <f>AC109*E109*10000*VLOOKUP(A109,[1]kcal!$A$2:$C$49,3,FALSE)/1000000000000*IFERROR(VLOOKUP(A109,'Kategorisering af kcal'!$A$2:$E$18,MATCH('Produktion &amp; forbrug'!F109,'Kategorisering af kcal'!$A$1:$E$1,0),FALSE),0)</f>
        <v>9.8881153625578009E-3</v>
      </c>
      <c r="AE109">
        <f>IF(C109&lt;&gt;"",AC109*(1-IF(A109&lt;&gt;"Græs",VLOOKUP(A109,'Kategorisering af kcal'!$A$2:$E$18,MATCH('Produktion &amp; forbrug'!F109,'Kategorisering af kcal'!$A$1:$E$1,0),FALSE),HLOOKUP(F109,Græsprotein!$C$2:$E$8,7))),'Produktion &amp; forbrug'!AC109)</f>
        <v>0</v>
      </c>
      <c r="AF109" s="94">
        <f t="shared" si="24"/>
        <v>6505.3390543143432</v>
      </c>
      <c r="AG109">
        <f>IF(AC109&lt;0,AD109,G109*E109*10000*VLOOKUP(A109,[1]kcal!$A$2:$C$49,3,FALSE)/1000000000000*IFERROR(VLOOKUP(A109,'Kategorisering af kcal'!$A$2:$E$18,MATCH('Produktion &amp; forbrug'!F109,'Kategorisering af kcal'!$A$1:$E$1,0),FALSE),0))</f>
        <v>9.8881153625578009E-3</v>
      </c>
    </row>
    <row r="110" spans="1:33" x14ac:dyDescent="0.25">
      <c r="A110" s="171" t="str">
        <f t="shared" si="12"/>
        <v>Frø</v>
      </c>
      <c r="B110" s="171" t="str">
        <f t="shared" si="13"/>
        <v/>
      </c>
      <c r="C110" s="171" t="str">
        <f>IFERROR(VLOOKUP(A110,'Kategorisering af kcal'!$A$2:$B$18,2,FALSE),"")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5"/>
        <v>0</v>
      </c>
      <c r="F110" s="171">
        <f t="shared" si="25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83716.319006591395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8"/>
        <v>83716.319006591395</v>
      </c>
      <c r="P110" s="94">
        <f t="shared" si="19"/>
        <v>0</v>
      </c>
      <c r="Q110" s="180">
        <f t="shared" si="20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1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2"/>
        <v>0</v>
      </c>
      <c r="Z110">
        <f t="shared" si="26"/>
        <v>0</v>
      </c>
      <c r="AA110">
        <f t="shared" si="27"/>
        <v>1</v>
      </c>
      <c r="AC110" s="94">
        <f t="shared" si="23"/>
        <v>83716.319006591395</v>
      </c>
      <c r="AD110">
        <f>AC110*E110*10000*VLOOKUP(A110,[1]kcal!$A$2:$C$49,3,FALSE)/1000000000000*IFERROR(VLOOKUP(A110,'Kategorisering af kcal'!$A$2:$E$18,MATCH('Produktion &amp; forbrug'!F110,'Kategorisering af kcal'!$A$1:$E$1,0),FALSE),0)</f>
        <v>0</v>
      </c>
      <c r="AE110">
        <f>IF(C110&lt;&gt;"",AC110*(1-IF(A110&lt;&gt;"Græs",VLOOKUP(A110,'Kategorisering af kcal'!$A$2:$E$18,MATCH('Produktion &amp; forbrug'!F110,'Kategorisering af kcal'!$A$1:$E$1,0),FALSE),HLOOKUP(F110,Græsprotein!$C$2:$E$8,7))),'Produktion &amp; forbrug'!AC110)</f>
        <v>83716.319006591395</v>
      </c>
      <c r="AF110" s="94">
        <f t="shared" si="24"/>
        <v>0</v>
      </c>
      <c r="AG110">
        <f>IF(AC110&lt;0,AD110,G110*E110*10000*VLOOKUP(A110,[1]kcal!$A$2:$C$49,3,FALSE)/1000000000000*IFERROR(VLOOKUP(A110,'Kategorisering af kcal'!$A$2:$E$18,MATCH('Produktion &amp; forbrug'!F110,'Kategorisering af kcal'!$A$1:$E$1,0),FALSE),0))</f>
        <v>0</v>
      </c>
    </row>
    <row r="111" spans="1:33" x14ac:dyDescent="0.25">
      <c r="A111" s="171" t="str">
        <f t="shared" si="12"/>
        <v>Frugt</v>
      </c>
      <c r="B111" s="171" t="str">
        <f t="shared" si="13"/>
        <v/>
      </c>
      <c r="C111" s="171" t="str">
        <f>IFERROR(VLOOKUP(A111,'Kategorisering af kcal'!$A$2:$B$18,2,FALSE),"")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5"/>
        <v>1</v>
      </c>
      <c r="F111" s="171">
        <f t="shared" si="25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1032360.8523594537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0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8"/>
        <v>1032360.8523594537</v>
      </c>
      <c r="P111" s="94">
        <f t="shared" si="19"/>
        <v>0</v>
      </c>
      <c r="Q111" s="180">
        <f t="shared" si="20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1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2"/>
        <v>0</v>
      </c>
      <c r="Z111">
        <f t="shared" si="26"/>
        <v>0</v>
      </c>
      <c r="AA111">
        <f t="shared" si="27"/>
        <v>1</v>
      </c>
      <c r="AC111" s="94">
        <f t="shared" si="23"/>
        <v>1032360.8523594537</v>
      </c>
      <c r="AD111">
        <f>AC111*E111*10000*VLOOKUP(A111,[1]kcal!$A$2:$C$49,3,FALSE)/1000000000000*IFERROR(VLOOKUP(A111,'Kategorisering af kcal'!$A$2:$E$18,MATCH('Produktion &amp; forbrug'!F111,'Kategorisering af kcal'!$A$1:$E$1,0),FALSE),0)</f>
        <v>0.53682764322691601</v>
      </c>
      <c r="AE111">
        <f>IF(C111&lt;&gt;"",AC111*(1-IF(A111&lt;&gt;"Græs",VLOOKUP(A111,'Kategorisering af kcal'!$A$2:$E$18,MATCH('Produktion &amp; forbrug'!F111,'Kategorisering af kcal'!$A$1:$E$1,0),FALSE),HLOOKUP(F111,Græsprotein!$C$2:$E$8,7))),'Produktion &amp; forbrug'!AC111)</f>
        <v>0</v>
      </c>
      <c r="AF111" s="94">
        <f t="shared" si="24"/>
        <v>1032360.8523594537</v>
      </c>
      <c r="AG111">
        <f>IF(AC111&lt;0,AD111,G111*E111*10000*VLOOKUP(A111,[1]kcal!$A$2:$C$49,3,FALSE)/1000000000000*IFERROR(VLOOKUP(A111,'Kategorisering af kcal'!$A$2:$E$18,MATCH('Produktion &amp; forbrug'!F111,'Kategorisering af kcal'!$A$1:$E$1,0),FALSE),0))</f>
        <v>0.53682764322691601</v>
      </c>
    </row>
    <row r="112" spans="1:33" x14ac:dyDescent="0.25">
      <c r="A112" s="171" t="str">
        <f t="shared" si="12"/>
        <v>Glycerin</v>
      </c>
      <c r="B112" s="171" t="str">
        <f t="shared" si="13"/>
        <v>Glycerin</v>
      </c>
      <c r="C112" s="171" t="str">
        <f>IFERROR(VLOOKUP(A112,'Kategorisering af kcal'!$A$2:$B$18,2,FALSE),"")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5"/>
        <v>0</v>
      </c>
      <c r="F112" s="171">
        <f t="shared" si="25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8"/>
        <v>0</v>
      </c>
      <c r="P112" s="94">
        <f t="shared" si="19"/>
        <v>0</v>
      </c>
      <c r="Q112" s="180">
        <f t="shared" si="20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1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2"/>
        <v>0</v>
      </c>
      <c r="Z112">
        <f t="shared" si="26"/>
        <v>0</v>
      </c>
      <c r="AA112">
        <f t="shared" si="27"/>
        <v>0</v>
      </c>
      <c r="AC112" s="94">
        <f t="shared" si="23"/>
        <v>0</v>
      </c>
      <c r="AD112">
        <f>AC112*E112*10000*VLOOKUP(A112,[1]kcal!$A$2:$C$49,3,FALSE)/1000000000000*IFERROR(VLOOKUP(A112,'Kategorisering af kcal'!$A$2:$E$18,MATCH('Produktion &amp; forbrug'!F112,'Kategorisering af kcal'!$A$1:$E$1,0),FALSE),0)</f>
        <v>0</v>
      </c>
      <c r="AE112">
        <f>IF(C112&lt;&gt;"",AC112*(1-IF(A112&lt;&gt;"Græs",VLOOKUP(A112,'Kategorisering af kcal'!$A$2:$E$18,MATCH('Produktion &amp; forbrug'!F112,'Kategorisering af kcal'!$A$1:$E$1,0),FALSE),HLOOKUP(F112,Græsprotein!$C$2:$E$8,7))),'Produktion &amp; forbrug'!AC112)</f>
        <v>0</v>
      </c>
      <c r="AF112" s="94">
        <f t="shared" si="24"/>
        <v>0</v>
      </c>
      <c r="AG112">
        <f>IF(AC112&lt;0,AD112,G112*E112*10000*VLOOKUP(A112,[1]kcal!$A$2:$C$49,3,FALSE)/1000000000000*IFERROR(VLOOKUP(A112,'Kategorisering af kcal'!$A$2:$E$18,MATCH('Produktion &amp; forbrug'!F112,'Kategorisering af kcal'!$A$1:$E$1,0),FALSE),0))</f>
        <v>0</v>
      </c>
    </row>
    <row r="113" spans="1:33" x14ac:dyDescent="0.25">
      <c r="A113" s="171" t="str">
        <f t="shared" si="12"/>
        <v>Græs</v>
      </c>
      <c r="B113" s="171" t="str">
        <f t="shared" si="13"/>
        <v>Græs og urter</v>
      </c>
      <c r="C113" s="171" t="str">
        <f>IFERROR(VLOOKUP(A113,'Kategorisering af kcal'!$A$2:$B$18,2,FALSE),"")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5"/>
        <v>1</v>
      </c>
      <c r="F113" s="171">
        <f t="shared" si="25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45842153.116651788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1162670.7264108984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14690489.829349302</v>
      </c>
      <c r="O113" s="179">
        <f t="shared" si="18"/>
        <v>29988992.560891587</v>
      </c>
      <c r="P113" s="94">
        <f t="shared" si="19"/>
        <v>29988992.560891587</v>
      </c>
      <c r="Q113" s="180">
        <f t="shared" si="20"/>
        <v>0</v>
      </c>
      <c r="R113">
        <f>IFERROR(VLOOKUP(A113,[1]Energiindhold!$A$2:$C$11,3,FALSE),IFERROR(VLOOKUP(A113,[1]Biogasudbytte!$A$2:$B$18,2,FALSE)*[1]Energiindhold!$C$10,0))*P113</f>
        <v>55.175997687970415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55.175997687970415</v>
      </c>
      <c r="T113">
        <f>IFERROR(VLOOKUP(A113,[1]Biogasudbytte!$A$2:$B$18,2,FALSE)*[1]Energiindhold!$C$10,0)*K113*IFERROR(VLOOKUP(A113,Biogasanlæg!$F$3:$G$8,2,FALSE),1)</f>
        <v>0</v>
      </c>
      <c r="U113" s="170">
        <f t="shared" si="21"/>
        <v>55.175997687970415</v>
      </c>
      <c r="V113" s="169">
        <f>P113*IFERROR(VLOOKUP(A113,[1]Tørstofindhold!A$2:B$24,2,FALSE),0)</f>
        <v>8396917.9170496445</v>
      </c>
      <c r="W113">
        <f>IF(F113=År1,Q113,SUM(P113,Q113))*IFERROR(VLOOKUP(A113,[1]Tørstofindhold!A$2:B$24,2,FALSE),0)</f>
        <v>8396917.9170496445</v>
      </c>
      <c r="X113">
        <f>K113*IFERROR(VLOOKUP(A113,[1]Tørstofindhold!A$2:B$24,2,FALSE),0)</f>
        <v>0</v>
      </c>
      <c r="Y113" s="170">
        <f t="shared" si="22"/>
        <v>8396917.9170496445</v>
      </c>
      <c r="Z113">
        <f t="shared" si="26"/>
        <v>0</v>
      </c>
      <c r="AA113">
        <f t="shared" si="27"/>
        <v>1</v>
      </c>
      <c r="AC113" s="94">
        <f>G113-SUMPRODUCT($H$2:$N$2,H113:N113)</f>
        <v>29988992.560891587</v>
      </c>
      <c r="AD113">
        <f>AC113*E113*10000*VLOOKUP(A113,[1]kcal!$A$2:$C$49,3,FALSE)/1000000000000*IFERROR(VLOOKUP(A113,'Kategorisering af kcal'!$A$2:$E$18,MATCH('Produktion &amp; forbrug'!F113,'Kategorisering af kcal'!$A$1:$E$1,0),FALSE),0)</f>
        <v>4.5816516412473272</v>
      </c>
      <c r="AE113">
        <f>IF(C113&lt;&gt;"",AC113*(1-IF(A113&lt;&gt;"Græs",VLOOKUP(A113,'Kategorisering af kcal'!$A$2:$E$18,MATCH('Produktion &amp; forbrug'!F113,'Kategorisering af kcal'!$A$1:$E$1,0),FALSE),HLOOKUP(F113,Græsprotein!$C$2:$E$8,7))),'Produktion &amp; forbrug'!AC113)</f>
        <v>13328441.138174038</v>
      </c>
      <c r="AF113" s="94">
        <f>AC113-AE113</f>
        <v>16660551.422717549</v>
      </c>
      <c r="AG113">
        <f>IF(AC113&lt;0,AD113,G113*E113*10000*VLOOKUP(A113,[1]kcal!$A$2:$C$49,3,FALSE)/1000000000000*IFERROR(VLOOKUP(A113,'Kategorisering af kcal'!$A$2:$E$18,MATCH('Produktion &amp; forbrug'!F113,'Kategorisering af kcal'!$A$1:$E$1,0),FALSE),0))</f>
        <v>7.0036622817106906</v>
      </c>
    </row>
    <row r="114" spans="1:33" x14ac:dyDescent="0.25">
      <c r="A114" s="171" t="str">
        <f t="shared" si="12"/>
        <v>Græsprotein</v>
      </c>
      <c r="B114" s="171" t="str">
        <f t="shared" si="13"/>
        <v/>
      </c>
      <c r="C114" s="171" t="str">
        <f>IFERROR(VLOOKUP(A114,'Kategorisering af kcal'!$A$2:$B$18,2,FALSE),"")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5"/>
        <v>0</v>
      </c>
      <c r="F114" s="171">
        <f t="shared" si="25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2455829.6312492033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2455829.6312492033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8"/>
        <v>0</v>
      </c>
      <c r="P114" s="94">
        <f t="shared" si="19"/>
        <v>0</v>
      </c>
      <c r="Q114" s="180">
        <f t="shared" si="20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1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2"/>
        <v>0</v>
      </c>
      <c r="Z114">
        <f t="shared" si="26"/>
        <v>0</v>
      </c>
      <c r="AA114">
        <f t="shared" si="27"/>
        <v>0</v>
      </c>
      <c r="AC114" s="94">
        <f t="shared" si="23"/>
        <v>0</v>
      </c>
      <c r="AD114">
        <f>AC114*E114*10000*VLOOKUP(A114,[1]kcal!$A$2:$C$49,3,FALSE)/1000000000000*IFERROR(VLOOKUP(A114,'Kategorisering af kcal'!$A$2:$E$18,MATCH('Produktion &amp; forbrug'!F114,'Kategorisering af kcal'!$A$1:$E$1,0),FALSE),0)</f>
        <v>0</v>
      </c>
      <c r="AE114">
        <f>IF(C114&lt;&gt;"",AC114*(1-IF(A114&lt;&gt;"Græs",VLOOKUP(A114,'Kategorisering af kcal'!$A$2:$E$18,MATCH('Produktion &amp; forbrug'!F114,'Kategorisering af kcal'!$A$1:$E$1,0),FALSE),HLOOKUP(F114,Græsprotein!$C$2:$E$8,7))),'Produktion &amp; forbrug'!AC114)</f>
        <v>0</v>
      </c>
      <c r="AF114" s="94">
        <f t="shared" si="24"/>
        <v>0</v>
      </c>
      <c r="AG114">
        <f>IF(AC114&lt;0,AD114,G114*E114*10000*VLOOKUP(A114,[1]kcal!$A$2:$C$49,3,FALSE)/1000000000000*IFERROR(VLOOKUP(A114,'Kategorisering af kcal'!$A$2:$E$18,MATCH('Produktion &amp; forbrug'!F114,'Kategorisering af kcal'!$A$1:$E$1,0),FALSE),0))</f>
        <v>0</v>
      </c>
    </row>
    <row r="115" spans="1:33" x14ac:dyDescent="0.25">
      <c r="A115" s="171" t="str">
        <f t="shared" si="12"/>
        <v>Grøntsager</v>
      </c>
      <c r="B115" s="171" t="str">
        <f t="shared" si="13"/>
        <v/>
      </c>
      <c r="C115" s="171" t="str">
        <f>IFERROR(VLOOKUP(A115,'Kategorisering af kcal'!$A$2:$B$18,2,FALSE),"")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5"/>
        <v>1</v>
      </c>
      <c r="F115" s="171">
        <f t="shared" si="25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402131.52042787225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0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8"/>
        <v>402131.52042787225</v>
      </c>
      <c r="P115" s="94">
        <f t="shared" si="19"/>
        <v>0</v>
      </c>
      <c r="Q115" s="180">
        <f t="shared" si="20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1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2"/>
        <v>0</v>
      </c>
      <c r="Z115">
        <f t="shared" si="26"/>
        <v>0</v>
      </c>
      <c r="AA115">
        <f t="shared" si="27"/>
        <v>1</v>
      </c>
      <c r="AC115" s="94">
        <f t="shared" si="23"/>
        <v>402131.52042787225</v>
      </c>
      <c r="AD115">
        <f>AC115*E115*10000*VLOOKUP(A115,[1]kcal!$A$2:$C$49,3,FALSE)/1000000000000*IFERROR(VLOOKUP(A115,'Kategorisering af kcal'!$A$2:$E$18,MATCH('Produktion &amp; forbrug'!F115,'Kategorisering af kcal'!$A$1:$E$1,0),FALSE),0)</f>
        <v>0.15683129296687018</v>
      </c>
      <c r="AE115">
        <f>IF(C115&lt;&gt;"",AC115*(1-IF(A115&lt;&gt;"Græs",VLOOKUP(A115,'Kategorisering af kcal'!$A$2:$E$18,MATCH('Produktion &amp; forbrug'!F115,'Kategorisering af kcal'!$A$1:$E$1,0),FALSE),HLOOKUP(F115,Græsprotein!$C$2:$E$8,7))),'Produktion &amp; forbrug'!AC115)</f>
        <v>0</v>
      </c>
      <c r="AF115" s="94">
        <f t="shared" si="24"/>
        <v>402131.52042787225</v>
      </c>
      <c r="AG115">
        <f>IF(AC115&lt;0,AD115,G115*E115*10000*VLOOKUP(A115,[1]kcal!$A$2:$C$49,3,FALSE)/1000000000000*IFERROR(VLOOKUP(A115,'Kategorisering af kcal'!$A$2:$E$18,MATCH('Produktion &amp; forbrug'!F115,'Kategorisering af kcal'!$A$1:$E$1,0),FALSE),0))</f>
        <v>0.15683129296687018</v>
      </c>
    </row>
    <row r="116" spans="1:33" x14ac:dyDescent="0.25">
      <c r="A116" s="171" t="str">
        <f t="shared" ref="A116:A147" si="28">A68</f>
        <v>Halm</v>
      </c>
      <c r="B116" s="171" t="str">
        <f t="shared" ref="B116:B147" si="29">IF(B68&lt;&gt;"",B68,"")</f>
        <v>Halm og strå</v>
      </c>
      <c r="C116" s="171" t="str">
        <f>IFERROR(VLOOKUP(A116,'Kategorisering af kcal'!$A$2:$B$18,2,FALSE),"")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5"/>
        <v>0</v>
      </c>
      <c r="F116" s="171">
        <f t="shared" si="25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950423.01385351282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73448.857103623857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79956.439530000003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797017.71721988893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8"/>
        <v>0</v>
      </c>
      <c r="P116" s="94">
        <f t="shared" si="19"/>
        <v>0</v>
      </c>
      <c r="Q116" s="180">
        <f t="shared" si="20"/>
        <v>797017.71721988893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8.2378207740437297</v>
      </c>
      <c r="T116">
        <f>IFERROR(VLOOKUP(A116,[1]Biogasudbytte!$A$2:$B$18,2,FALSE)*[1]Energiindhold!$C$10,0)*K116*IFERROR(VLOOKUP(A116,Biogasanlæg!$F$3:$G$8,2,FALSE),1)</f>
        <v>0</v>
      </c>
      <c r="U116" s="170">
        <f t="shared" si="21"/>
        <v>8.2378207740437297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677465.05963690556</v>
      </c>
      <c r="X116">
        <f>K116*IFERROR(VLOOKUP(A116,[1]Tørstofindhold!A$2:B$24,2,FALSE),0)</f>
        <v>0</v>
      </c>
      <c r="Y116" s="170">
        <f t="shared" si="22"/>
        <v>677465.05963690556</v>
      </c>
      <c r="Z116">
        <f t="shared" si="26"/>
        <v>0</v>
      </c>
      <c r="AA116">
        <f t="shared" si="27"/>
        <v>0</v>
      </c>
      <c r="AC116" s="94">
        <f t="shared" si="23"/>
        <v>797017.71721988893</v>
      </c>
      <c r="AD116">
        <f>AC116*E116*10000*VLOOKUP(A116,[1]kcal!$A$2:$C$49,3,FALSE)/1000000000000*IFERROR(VLOOKUP(A116,'Kategorisering af kcal'!$A$2:$E$18,MATCH('Produktion &amp; forbrug'!F116,'Kategorisering af kcal'!$A$1:$E$1,0),FALSE),0)</f>
        <v>0</v>
      </c>
      <c r="AE116">
        <f>IF(C116&lt;&gt;"",AC116*(1-IF(A116&lt;&gt;"Græs",VLOOKUP(A116,'Kategorisering af kcal'!$A$2:$E$18,MATCH('Produktion &amp; forbrug'!F116,'Kategorisering af kcal'!$A$1:$E$1,0),FALSE),HLOOKUP(F116,Græsprotein!$C$2:$E$8,7))),'Produktion &amp; forbrug'!AC116)</f>
        <v>797017.71721988893</v>
      </c>
      <c r="AF116" s="94">
        <f t="shared" si="24"/>
        <v>0</v>
      </c>
      <c r="AG116">
        <f>IF(AC116&lt;0,AD116,G116*E116*10000*VLOOKUP(A116,[1]kcal!$A$2:$C$49,3,FALSE)/1000000000000*IFERROR(VLOOKUP(A116,'Kategorisering af kcal'!$A$2:$E$18,MATCH('Produktion &amp; forbrug'!F116,'Kategorisering af kcal'!$A$1:$E$1,0),FALSE),0))</f>
        <v>0</v>
      </c>
    </row>
    <row r="117" spans="1:33" x14ac:dyDescent="0.25">
      <c r="A117" s="171" t="str">
        <f t="shared" si="28"/>
        <v>Have/parkaffald</v>
      </c>
      <c r="B117" s="171" t="str">
        <f t="shared" si="29"/>
        <v>Bionedbrydeligt affald</v>
      </c>
      <c r="C117" s="171" t="str">
        <f>IFERROR(VLOOKUP(A117,'Kategorisering af kcal'!$A$2:$B$18,2,FALSE),"")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30">E69</f>
        <v>0</v>
      </c>
      <c r="F117" s="171">
        <f t="shared" si="25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8"/>
        <v>0</v>
      </c>
      <c r="P117" s="94">
        <f t="shared" si="19"/>
        <v>0</v>
      </c>
      <c r="Q117" s="180">
        <f t="shared" si="20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1"/>
        <v>17.545322997702911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0</v>
      </c>
      <c r="Y117" s="170">
        <f t="shared" si="22"/>
        <v>294842.7</v>
      </c>
      <c r="Z117">
        <f t="shared" si="26"/>
        <v>0</v>
      </c>
      <c r="AA117">
        <f t="shared" si="27"/>
        <v>0</v>
      </c>
      <c r="AC117" s="94">
        <f t="shared" si="23"/>
        <v>982809</v>
      </c>
      <c r="AD117">
        <f>AC117*E117*10000*VLOOKUP(A117,[1]kcal!$A$2:$C$49,3,FALSE)/1000000000000*IFERROR(VLOOKUP(A117,'Kategorisering af kcal'!$A$2:$E$18,MATCH('Produktion &amp; forbrug'!F117,'Kategorisering af kcal'!$A$1:$E$1,0),FALSE),0)</f>
        <v>0</v>
      </c>
      <c r="AE117">
        <f>IF(C117&lt;&gt;"",AC117*(1-IF(A117&lt;&gt;"Græs",VLOOKUP(A117,'Kategorisering af kcal'!$A$2:$E$18,MATCH('Produktion &amp; forbrug'!F117,'Kategorisering af kcal'!$A$1:$E$1,0),FALSE),HLOOKUP(F117,Græsprotein!$C$2:$E$8,7))),'Produktion &amp; forbrug'!AC117)</f>
        <v>982809</v>
      </c>
      <c r="AF117" s="94">
        <f t="shared" si="24"/>
        <v>0</v>
      </c>
      <c r="AG117">
        <f>IF(AC117&lt;0,AD117,G117*E117*10000*VLOOKUP(A117,[1]kcal!$A$2:$C$49,3,FALSE)/1000000000000*IFERROR(VLOOKUP(A117,'Kategorisering af kcal'!$A$2:$E$18,MATCH('Produktion &amp; forbrug'!F117,'Kategorisering af kcal'!$A$1:$E$1,0),FALSE),0))</f>
        <v>0</v>
      </c>
    </row>
    <row r="118" spans="1:33" x14ac:dyDescent="0.25">
      <c r="A118" s="171" t="str">
        <f t="shared" si="28"/>
        <v>Import af foder</v>
      </c>
      <c r="B118" s="171" t="str">
        <f t="shared" si="29"/>
        <v/>
      </c>
      <c r="C118" s="171" t="str">
        <f>IFERROR(VLOOKUP(A118,'Kategorisering af kcal'!$A$2:$B$18,2,FALSE),"")</f>
        <v>Import af foder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30"/>
        <v>1</v>
      </c>
      <c r="F118" s="171">
        <f t="shared" si="25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8"/>
        <v>0</v>
      </c>
      <c r="P118" s="94">
        <f t="shared" si="19"/>
        <v>0</v>
      </c>
      <c r="Q118" s="180">
        <f t="shared" si="20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1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2"/>
        <v>0</v>
      </c>
      <c r="Z118">
        <f t="shared" si="26"/>
        <v>0</v>
      </c>
      <c r="AA118">
        <f t="shared" si="27"/>
        <v>0</v>
      </c>
      <c r="AC118" s="94">
        <f t="shared" si="23"/>
        <v>0</v>
      </c>
      <c r="AD118">
        <f>AC118*E118*10000*VLOOKUP(A118,[1]kcal!$A$2:$C$49,3,FALSE)/1000000000000*IFERROR(VLOOKUP(A118,'Kategorisering af kcal'!$A$2:$E$18,MATCH('Produktion &amp; forbrug'!F118,'Kategorisering af kcal'!$A$1:$E$1,0),FALSE),0)</f>
        <v>0</v>
      </c>
      <c r="AE118">
        <f>IF(C118&lt;&gt;"",AC118*(1-IF(A118&lt;&gt;"Græs",VLOOKUP(A118,'Kategorisering af kcal'!$A$2:$E$18,MATCH('Produktion &amp; forbrug'!F118,'Kategorisering af kcal'!$A$1:$E$1,0),FALSE),HLOOKUP(F118,Græsprotein!$C$2:$E$8,7))),'Produktion &amp; forbrug'!AC118)</f>
        <v>0</v>
      </c>
      <c r="AF118" s="94">
        <f t="shared" si="24"/>
        <v>0</v>
      </c>
      <c r="AG118">
        <f>IF(AC118&lt;0,AD118,G118*E118*10000*VLOOKUP(A118,[1]kcal!$A$2:$C$49,3,FALSE)/1000000000000*IFERROR(VLOOKUP(A118,'Kategorisering af kcal'!$A$2:$E$18,MATCH('Produktion &amp; forbrug'!F118,'Kategorisering af kcal'!$A$1:$E$1,0),FALSE),0))</f>
        <v>0</v>
      </c>
    </row>
    <row r="119" spans="1:33" x14ac:dyDescent="0.25">
      <c r="A119" s="171" t="str">
        <f t="shared" si="28"/>
        <v>Industriaffald</v>
      </c>
      <c r="B119" s="171" t="str">
        <f t="shared" si="29"/>
        <v>Bionedbrydeligt affald</v>
      </c>
      <c r="C119" s="171" t="str">
        <f>IFERROR(VLOOKUP(A119,'Kategorisering af kcal'!$A$2:$B$18,2,FALSE),"")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30"/>
        <v>0</v>
      </c>
      <c r="F119" s="171">
        <f t="shared" si="25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386055.55758656352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8"/>
        <v>386055.55758656352</v>
      </c>
      <c r="P119" s="94">
        <f t="shared" si="19"/>
        <v>386055.55758656352</v>
      </c>
      <c r="Q119" s="180">
        <f t="shared" si="20"/>
        <v>0</v>
      </c>
      <c r="R119">
        <f>IFERROR(VLOOKUP(A119,[1]Energiindhold!$A$2:$C$11,3,FALSE),IFERROR(VLOOKUP(A119,[1]Biogasudbytte!$A$2:$B$18,2,FALSE)*[1]Energiindhold!$C$10,0))*P119</f>
        <v>1.6728289182450662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1.6728289182450662</v>
      </c>
      <c r="T119">
        <f>IFERROR(VLOOKUP(A119,[1]Biogasudbytte!$A$2:$B$18,2,FALSE)*[1]Energiindhold!$C$10,0)*K119*IFERROR(VLOOKUP(A119,Biogasanlæg!$F$3:$G$8,2,FALSE),1)</f>
        <v>0</v>
      </c>
      <c r="U119" s="170">
        <f t="shared" si="21"/>
        <v>1.6728289182450662</v>
      </c>
      <c r="V119" s="169">
        <f>P119*IFERROR(VLOOKUP(A119,[1]Tørstofindhold!A$2:B$24,2,FALSE),0)</f>
        <v>162143.33418635666</v>
      </c>
      <c r="W119">
        <f>IF(F119=År1,Q119,SUM(P119,Q119))*IFERROR(VLOOKUP(A119,[1]Tørstofindhold!A$2:B$24,2,FALSE),0)</f>
        <v>162143.33418635666</v>
      </c>
      <c r="X119">
        <f>K119*IFERROR(VLOOKUP(A119,[1]Tørstofindhold!A$2:B$24,2,FALSE),0)</f>
        <v>0</v>
      </c>
      <c r="Y119" s="170">
        <f t="shared" si="22"/>
        <v>162143.33418635666</v>
      </c>
      <c r="Z119">
        <f t="shared" si="26"/>
        <v>0</v>
      </c>
      <c r="AA119">
        <f t="shared" si="27"/>
        <v>1</v>
      </c>
      <c r="AC119" s="94">
        <f t="shared" si="23"/>
        <v>386055.55758656352</v>
      </c>
      <c r="AD119">
        <f>AC119*E119*10000*VLOOKUP(A119,[1]kcal!$A$2:$C$49,3,FALSE)/1000000000000*IFERROR(VLOOKUP(A119,'Kategorisering af kcal'!$A$2:$E$18,MATCH('Produktion &amp; forbrug'!F119,'Kategorisering af kcal'!$A$1:$E$1,0),FALSE),0)</f>
        <v>0</v>
      </c>
      <c r="AE119">
        <f>IF(C119&lt;&gt;"",AC119*(1-IF(A119&lt;&gt;"Græs",VLOOKUP(A119,'Kategorisering af kcal'!$A$2:$E$18,MATCH('Produktion &amp; forbrug'!F119,'Kategorisering af kcal'!$A$1:$E$1,0),FALSE),HLOOKUP(F119,Græsprotein!$C$2:$E$8,7))),'Produktion &amp; forbrug'!AC119)</f>
        <v>386055.55758656352</v>
      </c>
      <c r="AF119" s="94">
        <f t="shared" si="24"/>
        <v>0</v>
      </c>
      <c r="AG119">
        <f>IF(AC119&lt;0,AD119,G119*E119*10000*VLOOKUP(A119,[1]kcal!$A$2:$C$49,3,FALSE)/1000000000000*IFERROR(VLOOKUP(A119,'Kategorisering af kcal'!$A$2:$E$18,MATCH('Produktion &amp; forbrug'!F119,'Kategorisering af kcal'!$A$1:$E$1,0),FALSE),0))</f>
        <v>0</v>
      </c>
    </row>
    <row r="120" spans="1:33" x14ac:dyDescent="0.25">
      <c r="A120" s="171" t="str">
        <f t="shared" si="28"/>
        <v>Juletræer</v>
      </c>
      <c r="B120" s="171" t="str">
        <f t="shared" si="29"/>
        <v/>
      </c>
      <c r="C120" s="171" t="str">
        <f>IFERROR(VLOOKUP(A120,'Kategorisering af kcal'!$A$2:$B$18,2,FALSE),"")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30"/>
        <v>0</v>
      </c>
      <c r="F120" s="171">
        <f t="shared" si="25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515416.99573239626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8"/>
        <v>515416.99573239626</v>
      </c>
      <c r="P120" s="94">
        <f t="shared" si="19"/>
        <v>0</v>
      </c>
      <c r="Q120" s="180">
        <f t="shared" si="20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1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2"/>
        <v>0</v>
      </c>
      <c r="Z120">
        <f t="shared" si="26"/>
        <v>0</v>
      </c>
      <c r="AA120">
        <f t="shared" si="27"/>
        <v>1</v>
      </c>
      <c r="AC120" s="94">
        <f t="shared" si="23"/>
        <v>515416.99573239626</v>
      </c>
      <c r="AD120">
        <f>AC120*E120*10000*VLOOKUP(A120,[1]kcal!$A$2:$C$49,3,FALSE)/1000000000000*IFERROR(VLOOKUP(A120,'Kategorisering af kcal'!$A$2:$E$18,MATCH('Produktion &amp; forbrug'!F120,'Kategorisering af kcal'!$A$1:$E$1,0),FALSE),0)</f>
        <v>0</v>
      </c>
      <c r="AE120">
        <f>IF(C120&lt;&gt;"",AC120*(1-IF(A120&lt;&gt;"Græs",VLOOKUP(A120,'Kategorisering af kcal'!$A$2:$E$18,MATCH('Produktion &amp; forbrug'!F120,'Kategorisering af kcal'!$A$1:$E$1,0),FALSE),HLOOKUP(F120,Græsprotein!$C$2:$E$8,7))),'Produktion &amp; forbrug'!AC120)</f>
        <v>515416.99573239626</v>
      </c>
      <c r="AF120" s="94">
        <f t="shared" si="24"/>
        <v>0</v>
      </c>
      <c r="AG120">
        <f>IF(AC120&lt;0,AD120,G120*E120*10000*VLOOKUP(A120,[1]kcal!$A$2:$C$49,3,FALSE)/1000000000000*IFERROR(VLOOKUP(A120,'Kategorisering af kcal'!$A$2:$E$18,MATCH('Produktion &amp; forbrug'!F120,'Kategorisering af kcal'!$A$1:$E$1,0),FALSE),0))</f>
        <v>0</v>
      </c>
    </row>
    <row r="121" spans="1:33" x14ac:dyDescent="0.25">
      <c r="A121" s="171" t="str">
        <f t="shared" si="28"/>
        <v>Kartofler</v>
      </c>
      <c r="B121" s="171" t="str">
        <f t="shared" si="29"/>
        <v/>
      </c>
      <c r="C121" s="171" t="str">
        <f>IFERROR(VLOOKUP(A121,'Kategorisering af kcal'!$A$2:$B$18,2,FALSE),"")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30"/>
        <v>1</v>
      </c>
      <c r="F121" s="171">
        <f t="shared" si="25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3114555.2534101894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0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8"/>
        <v>3114555.2534101894</v>
      </c>
      <c r="P121" s="94">
        <f t="shared" si="19"/>
        <v>0</v>
      </c>
      <c r="Q121" s="180">
        <f t="shared" si="20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1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2"/>
        <v>0</v>
      </c>
      <c r="Z121">
        <f t="shared" si="26"/>
        <v>0</v>
      </c>
      <c r="AA121">
        <f t="shared" si="27"/>
        <v>1</v>
      </c>
      <c r="AC121" s="94">
        <f t="shared" si="23"/>
        <v>3114555.2534101894</v>
      </c>
      <c r="AD121">
        <f>AC121*E121*10000*VLOOKUP(A121,[1]kcal!$A$2:$C$49,3,FALSE)/1000000000000*IFERROR(VLOOKUP(A121,'Kategorisering af kcal'!$A$2:$E$18,MATCH('Produktion &amp; forbrug'!F121,'Kategorisering af kcal'!$A$1:$E$1,0),FALSE),0)</f>
        <v>2.4293530976599476</v>
      </c>
      <c r="AE121">
        <f>IF(C121&lt;&gt;"",AC121*(1-IF(A121&lt;&gt;"Græs",VLOOKUP(A121,'Kategorisering af kcal'!$A$2:$E$18,MATCH('Produktion &amp; forbrug'!F121,'Kategorisering af kcal'!$A$1:$E$1,0),FALSE),HLOOKUP(F121,Græsprotein!$C$2:$E$8,7))),'Produktion &amp; forbrug'!AC121)</f>
        <v>0</v>
      </c>
      <c r="AF121" s="94">
        <f t="shared" si="24"/>
        <v>3114555.2534101894</v>
      </c>
      <c r="AG121">
        <f>IF(AC121&lt;0,AD121,G121*E121*10000*VLOOKUP(A121,[1]kcal!$A$2:$C$49,3,FALSE)/1000000000000*IFERROR(VLOOKUP(A121,'Kategorisering af kcal'!$A$2:$E$18,MATCH('Produktion &amp; forbrug'!F121,'Kategorisering af kcal'!$A$1:$E$1,0),FALSE),0))</f>
        <v>2.4293530976599476</v>
      </c>
    </row>
    <row r="122" spans="1:33" x14ac:dyDescent="0.25">
      <c r="A122" s="171" t="str">
        <f t="shared" si="28"/>
        <v>Korn</v>
      </c>
      <c r="B122" s="171" t="str">
        <f t="shared" si="29"/>
        <v>Halm og strå</v>
      </c>
      <c r="C122" s="171" t="str">
        <f>IFERROR(VLOOKUP(A122,'Kategorisering af kcal'!$A$2:$B$18,2,FALSE),"")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30"/>
        <v>1</v>
      </c>
      <c r="F122" s="171">
        <f t="shared" si="25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642399.17873835156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139661.10799021259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0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8"/>
        <v>502738.07074813894</v>
      </c>
      <c r="P122" s="94">
        <f t="shared" si="19"/>
        <v>502738.07074813894</v>
      </c>
      <c r="Q122" s="180">
        <f t="shared" si="20"/>
        <v>0</v>
      </c>
      <c r="R122">
        <f>IFERROR(VLOOKUP(A122,[1]Energiindhold!$A$2:$C$11,3,FALSE),IFERROR(VLOOKUP(A122,[1]Biogasudbytte!$A$2:$B$18,2,FALSE)*[1]Energiindhold!$C$10,0))*P122</f>
        <v>1.7218075089824714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1.7218075089824714</v>
      </c>
      <c r="T122">
        <f>IFERROR(VLOOKUP(A122,[1]Biogasudbytte!$A$2:$B$18,2,FALSE)*[1]Energiindhold!$C$10,0)*K122*IFERROR(VLOOKUP(A122,Biogasanlæg!$F$3:$G$8,2,FALSE),1)</f>
        <v>0</v>
      </c>
      <c r="U122" s="170">
        <f t="shared" si="21"/>
        <v>1.7218075089824714</v>
      </c>
      <c r="V122" s="169">
        <f>P122*IFERROR(VLOOKUP(A122,[1]Tørstofindhold!A$2:B$24,2,FALSE),0)</f>
        <v>155848.80193192308</v>
      </c>
      <c r="W122">
        <f>IF(F122=År1,Q122,SUM(P122,Q122))*IFERROR(VLOOKUP(A122,[1]Tørstofindhold!A$2:B$24,2,FALSE),0)</f>
        <v>155848.80193192308</v>
      </c>
      <c r="X122">
        <f>K122*IFERROR(VLOOKUP(A122,[1]Tørstofindhold!A$2:B$24,2,FALSE),0)</f>
        <v>0</v>
      </c>
      <c r="Y122" s="170">
        <f t="shared" si="22"/>
        <v>155848.80193192308</v>
      </c>
      <c r="Z122">
        <f t="shared" si="26"/>
        <v>0</v>
      </c>
      <c r="AA122">
        <f t="shared" si="27"/>
        <v>1</v>
      </c>
      <c r="AC122" s="94">
        <f t="shared" si="23"/>
        <v>502738.07074813894</v>
      </c>
      <c r="AD122">
        <f>AC122*E122*10000*VLOOKUP(A122,[1]kcal!$A$2:$C$49,3,FALSE)/1000000000000*IFERROR(VLOOKUP(A122,'Kategorisering af kcal'!$A$2:$E$18,MATCH('Produktion &amp; forbrug'!F122,'Kategorisering af kcal'!$A$1:$E$1,0),FALSE),0)</f>
        <v>1.1684330954014657</v>
      </c>
      <c r="AE122">
        <f>IF(C122&lt;&gt;"",AC122*(1-IF(A122&lt;&gt;"Græs",VLOOKUP(A122,'Kategorisering af kcal'!$A$2:$E$18,MATCH('Produktion &amp; forbrug'!F122,'Kategorisering af kcal'!$A$1:$E$1,0),FALSE),HLOOKUP(F122,Græsprotein!$C$2:$E$8,7))),'Produktion &amp; forbrug'!AC122)</f>
        <v>0</v>
      </c>
      <c r="AF122" s="94">
        <f t="shared" si="24"/>
        <v>502738.07074813894</v>
      </c>
      <c r="AG122">
        <f>IF(AC122&lt;0,AD122,G122*E122*10000*VLOOKUP(A122,[1]kcal!$A$2:$C$49,3,FALSE)/1000000000000*IFERROR(VLOOKUP(A122,'Kategorisering af kcal'!$A$2:$E$18,MATCH('Produktion &amp; forbrug'!F122,'Kategorisering af kcal'!$A$1:$E$1,0),FALSE),0))</f>
        <v>1.4930249061496805</v>
      </c>
    </row>
    <row r="123" spans="1:33" x14ac:dyDescent="0.25">
      <c r="A123" s="171" t="str">
        <f t="shared" si="28"/>
        <v>Kunstgødning</v>
      </c>
      <c r="B123" s="171" t="str">
        <f t="shared" si="29"/>
        <v/>
      </c>
      <c r="C123" s="171" t="str">
        <f>IFERROR(VLOOKUP(A123,'Kategorisering af kcal'!$A$2:$B$18,2,FALSE),"")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30"/>
        <v>0</v>
      </c>
      <c r="F123" s="171">
        <f t="shared" si="25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1419989.4954988556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8"/>
        <v>-1419989.4954988556</v>
      </c>
      <c r="P123" s="94">
        <f t="shared" si="19"/>
        <v>0</v>
      </c>
      <c r="Q123" s="180">
        <f t="shared" si="20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1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2"/>
        <v>0</v>
      </c>
      <c r="Z123">
        <f t="shared" ca="1" si="26"/>
        <v>1</v>
      </c>
      <c r="AA123">
        <f t="shared" ca="1" si="27"/>
        <v>0</v>
      </c>
      <c r="AC123" s="94">
        <f t="shared" ca="1" si="23"/>
        <v>-1419989.4954988556</v>
      </c>
      <c r="AD123">
        <f ca="1">AC123*E123*10000*VLOOKUP(A123,[1]kcal!$A$2:$C$49,3,FALSE)/1000000000000*IFERROR(VLOOKUP(A123,'Kategorisering af kcal'!$A$2:$E$18,MATCH('Produktion &amp; forbrug'!F123,'Kategorisering af kcal'!$A$1:$E$1,0),FALSE),0)</f>
        <v>0</v>
      </c>
      <c r="AE123">
        <f ca="1">IF(C123&lt;&gt;"",AC123*(1-IF(A123&lt;&gt;"Græs",VLOOKUP(A123,'Kategorisering af kcal'!$A$2:$E$18,MATCH('Produktion &amp; forbrug'!F123,'Kategorisering af kcal'!$A$1:$E$1,0),FALSE),HLOOKUP(F123,Græsprotein!$C$2:$E$8,7))),'Produktion &amp; forbrug'!AC123)</f>
        <v>-1419989.4954988556</v>
      </c>
      <c r="AF123" s="94">
        <f t="shared" ca="1" si="24"/>
        <v>0</v>
      </c>
      <c r="AG123">
        <f ca="1">IF(AC123&lt;0,AD123,G123*E123*10000*VLOOKUP(A123,[1]kcal!$A$2:$C$49,3,FALSE)/1000000000000*IFERROR(VLOOKUP(A123,'Kategorisering af kcal'!$A$2:$E$18,MATCH('Produktion &amp; forbrug'!F123,'Kategorisering af kcal'!$A$1:$E$1,0),FALSE),0))</f>
        <v>0</v>
      </c>
    </row>
    <row r="124" spans="1:33" x14ac:dyDescent="0.25">
      <c r="A124" s="171" t="str">
        <f t="shared" si="28"/>
        <v>Kvæggylle</v>
      </c>
      <c r="B124" s="171" t="str">
        <f t="shared" si="29"/>
        <v>Husdyrgødning</v>
      </c>
      <c r="C124" s="171" t="str">
        <f>IFERROR(VLOOKUP(A124,'Kategorisering af kcal'!$A$2:$B$18,2,FALSE),"")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30"/>
        <v>0</v>
      </c>
      <c r="F124" s="171">
        <f t="shared" si="25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73630.792601451292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66267.713341306167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7363.0792601451285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8"/>
        <v>0</v>
      </c>
      <c r="P124" s="94">
        <f t="shared" si="19"/>
        <v>0</v>
      </c>
      <c r="Q124" s="180">
        <f t="shared" si="20"/>
        <v>66267.713341306167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3.3544053816235771E-2</v>
      </c>
      <c r="T124">
        <f>IFERROR(VLOOKUP(A124,[1]Biogasudbytte!$A$2:$B$18,2,FALSE)*[1]Energiindhold!$C$10,0)*K124*IFERROR(VLOOKUP(A124,Biogasanlæg!$F$3:$G$8,2,FALSE),1)</f>
        <v>3.3544053816235771E-2</v>
      </c>
      <c r="U124" s="170">
        <f t="shared" si="21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5036.3462139392686</v>
      </c>
      <c r="X124">
        <f>K124*IFERROR(VLOOKUP(A124,[1]Tørstofindhold!A$2:B$24,2,FALSE),0)</f>
        <v>5036.3462139392686</v>
      </c>
      <c r="Y124" s="170">
        <f t="shared" si="22"/>
        <v>0</v>
      </c>
      <c r="Z124">
        <f t="shared" si="26"/>
        <v>0</v>
      </c>
      <c r="AA124">
        <f t="shared" si="27"/>
        <v>0</v>
      </c>
      <c r="AC124" s="94">
        <f t="shared" si="23"/>
        <v>0</v>
      </c>
      <c r="AD124">
        <f>AC124*E124*10000*VLOOKUP(A124,[1]kcal!$A$2:$C$49,3,FALSE)/1000000000000*IFERROR(VLOOKUP(A124,'Kategorisering af kcal'!$A$2:$E$18,MATCH('Produktion &amp; forbrug'!F124,'Kategorisering af kcal'!$A$1:$E$1,0),FALSE),0)</f>
        <v>0</v>
      </c>
      <c r="AE124">
        <f>IF(C124&lt;&gt;"",AC124*(1-IF(A124&lt;&gt;"Græs",VLOOKUP(A124,'Kategorisering af kcal'!$A$2:$E$18,MATCH('Produktion &amp; forbrug'!F124,'Kategorisering af kcal'!$A$1:$E$1,0),FALSE),HLOOKUP(F124,Græsprotein!$C$2:$E$8,7))),'Produktion &amp; forbrug'!AC124)</f>
        <v>0</v>
      </c>
      <c r="AF124" s="94">
        <f t="shared" si="24"/>
        <v>0</v>
      </c>
      <c r="AG124">
        <f>IF(AC124&lt;0,AD124,G124*E124*10000*VLOOKUP(A124,[1]kcal!$A$2:$C$49,3,FALSE)/1000000000000*IFERROR(VLOOKUP(A124,'Kategorisering af kcal'!$A$2:$E$18,MATCH('Produktion &amp; forbrug'!F124,'Kategorisering af kcal'!$A$1:$E$1,0),FALSE),0))</f>
        <v>0</v>
      </c>
    </row>
    <row r="125" spans="1:33" x14ac:dyDescent="0.25">
      <c r="A125" s="171" t="str">
        <f t="shared" si="28"/>
        <v>Mælk til foder</v>
      </c>
      <c r="B125" s="171" t="str">
        <f t="shared" si="29"/>
        <v/>
      </c>
      <c r="C125" s="171" t="str">
        <f>IFERROR(VLOOKUP(A125,'Kategorisering af kcal'!$A$2:$B$18,2,FALSE),"")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30"/>
        <v>0</v>
      </c>
      <c r="F125" s="171">
        <f t="shared" si="25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0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0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8"/>
        <v>0</v>
      </c>
      <c r="P125" s="94">
        <f t="shared" si="19"/>
        <v>0</v>
      </c>
      <c r="Q125" s="180">
        <f t="shared" si="20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1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2"/>
        <v>0</v>
      </c>
      <c r="Z125">
        <f t="shared" si="26"/>
        <v>0</v>
      </c>
      <c r="AA125">
        <f t="shared" si="27"/>
        <v>0</v>
      </c>
      <c r="AC125" s="94">
        <f t="shared" si="23"/>
        <v>0</v>
      </c>
      <c r="AD125">
        <f>AC125*E125*10000*VLOOKUP(A125,[1]kcal!$A$2:$C$49,3,FALSE)/1000000000000*IFERROR(VLOOKUP(A125,'Kategorisering af kcal'!$A$2:$E$18,MATCH('Produktion &amp; forbrug'!F125,'Kategorisering af kcal'!$A$1:$E$1,0),FALSE),0)</f>
        <v>0</v>
      </c>
      <c r="AE125">
        <f>IF(C125&lt;&gt;"",AC125*(1-IF(A125&lt;&gt;"Græs",VLOOKUP(A125,'Kategorisering af kcal'!$A$2:$E$18,MATCH('Produktion &amp; forbrug'!F125,'Kategorisering af kcal'!$A$1:$E$1,0),FALSE),HLOOKUP(F125,Græsprotein!$C$2:$E$8,7))),'Produktion &amp; forbrug'!AC125)</f>
        <v>0</v>
      </c>
      <c r="AF125" s="94">
        <f t="shared" si="24"/>
        <v>0</v>
      </c>
      <c r="AG125">
        <f>IF(AC125&lt;0,AD125,G125*E125*10000*VLOOKUP(A125,[1]kcal!$A$2:$C$49,3,FALSE)/1000000000000*IFERROR(VLOOKUP(A125,'Kategorisering af kcal'!$A$2:$E$18,MATCH('Produktion &amp; forbrug'!F125,'Kategorisering af kcal'!$A$1:$E$1,0),FALSE),0))</f>
        <v>0</v>
      </c>
    </row>
    <row r="126" spans="1:33" x14ac:dyDescent="0.25">
      <c r="A126" s="171" t="str">
        <f t="shared" si="28"/>
        <v>Majs</v>
      </c>
      <c r="B126" s="171" t="str">
        <f t="shared" si="29"/>
        <v>Græs og urter</v>
      </c>
      <c r="C126" s="171" t="str">
        <f>IFERROR(VLOOKUP(A126,'Kategorisering af kcal'!$A$2:$B$18,2,FALSE),"")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30"/>
        <v>1</v>
      </c>
      <c r="F126" s="171">
        <f t="shared" si="25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683960.2634967803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536071.08053741162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8"/>
        <v>147889.18295936869</v>
      </c>
      <c r="P126" s="94">
        <f t="shared" si="19"/>
        <v>147889.18295936869</v>
      </c>
      <c r="Q126" s="180">
        <f t="shared" si="20"/>
        <v>0</v>
      </c>
      <c r="R126">
        <f>IFERROR(VLOOKUP(A126,[1]Energiindhold!$A$2:$C$11,3,FALSE),IFERROR(VLOOKUP(A126,[1]Biogasudbytte!$A$2:$B$18,2,FALSE)*[1]Energiindhold!$C$10,0))*P126</f>
        <v>0.53092216682413362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0.53092216682413362</v>
      </c>
      <c r="T126">
        <f>IFERROR(VLOOKUP(A126,[1]Biogasudbytte!$A$2:$B$18,2,FALSE)*[1]Energiindhold!$C$10,0)*K126*IFERROR(VLOOKUP(A126,Biogasanlæg!$F$3:$G$8,2,FALSE),1)</f>
        <v>0</v>
      </c>
      <c r="U126" s="170">
        <f t="shared" si="21"/>
        <v>0.53092216682413362</v>
      </c>
      <c r="V126" s="169">
        <f>P126*IFERROR(VLOOKUP(A126,[1]Tørstofindhold!A$2:B$24,2,FALSE),0)</f>
        <v>44366.754887810603</v>
      </c>
      <c r="W126">
        <f>IF(F126=År1,Q126,SUM(P126,Q126))*IFERROR(VLOOKUP(A126,[1]Tørstofindhold!A$2:B$24,2,FALSE),0)</f>
        <v>44366.754887810603</v>
      </c>
      <c r="X126">
        <f>K126*IFERROR(VLOOKUP(A126,[1]Tørstofindhold!A$2:B$24,2,FALSE),0)</f>
        <v>0</v>
      </c>
      <c r="Y126" s="170">
        <f t="shared" si="22"/>
        <v>44366.754887810603</v>
      </c>
      <c r="Z126">
        <f t="shared" si="26"/>
        <v>0</v>
      </c>
      <c r="AA126">
        <f t="shared" si="27"/>
        <v>1</v>
      </c>
      <c r="AC126" s="94">
        <f t="shared" si="23"/>
        <v>147889.18295936869</v>
      </c>
      <c r="AD126">
        <f>AC126*E126*10000*VLOOKUP(A126,[1]kcal!$A$2:$C$49,3,FALSE)/1000000000000*IFERROR(VLOOKUP(A126,'Kategorisering af kcal'!$A$2:$E$18,MATCH('Produktion &amp; forbrug'!F126,'Kategorisering af kcal'!$A$1:$E$1,0),FALSE),0)</f>
        <v>0.13457915649302549</v>
      </c>
      <c r="AE126">
        <f>IF(C126&lt;&gt;"",AC126*(1-IF(A126&lt;&gt;"Græs",VLOOKUP(A126,'Kategorisering af kcal'!$A$2:$E$18,MATCH('Produktion &amp; forbrug'!F126,'Kategorisering af kcal'!$A$1:$E$1,0),FALSE),HLOOKUP(F126,Græsprotein!$C$2:$E$8,7))),'Produktion &amp; forbrug'!AC126)</f>
        <v>0</v>
      </c>
      <c r="AF126" s="94">
        <f t="shared" si="24"/>
        <v>147889.18295936869</v>
      </c>
      <c r="AG126">
        <f>IF(AC126&lt;0,AD126,G126*E126*10000*VLOOKUP(A126,[1]kcal!$A$2:$C$49,3,FALSE)/1000000000000*IFERROR(VLOOKUP(A126,'Kategorisering af kcal'!$A$2:$E$18,MATCH('Produktion &amp; forbrug'!F126,'Kategorisering af kcal'!$A$1:$E$1,0),FALSE),0))</f>
        <v>0.62240383978207003</v>
      </c>
    </row>
    <row r="127" spans="1:33" x14ac:dyDescent="0.25">
      <c r="A127" s="171" t="str">
        <f t="shared" si="28"/>
        <v>Mejeriprodukter</v>
      </c>
      <c r="B127" s="171" t="str">
        <f t="shared" si="29"/>
        <v/>
      </c>
      <c r="C127" s="171" t="str">
        <f>IFERROR(VLOOKUP(A127,'Kategorisering af kcal'!$A$2:$B$18,2,FALSE),"")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30"/>
        <v>1</v>
      </c>
      <c r="F127" s="171">
        <f t="shared" si="25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0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0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8"/>
        <v>0</v>
      </c>
      <c r="P127" s="94">
        <f t="shared" si="19"/>
        <v>0</v>
      </c>
      <c r="Q127" s="180">
        <f t="shared" si="20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1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2"/>
        <v>0</v>
      </c>
      <c r="Z127">
        <f t="shared" si="26"/>
        <v>0</v>
      </c>
      <c r="AA127">
        <f t="shared" si="27"/>
        <v>0</v>
      </c>
      <c r="AC127" s="94">
        <f t="shared" si="23"/>
        <v>0</v>
      </c>
      <c r="AD127">
        <f>AC127*E127*10000*VLOOKUP(A127,[1]kcal!$A$2:$C$49,3,FALSE)/1000000000000*IFERROR(VLOOKUP(A127,'Kategorisering af kcal'!$A$2:$E$18,MATCH('Produktion &amp; forbrug'!F127,'Kategorisering af kcal'!$A$1:$E$1,0),FALSE),0)</f>
        <v>0</v>
      </c>
      <c r="AE127">
        <f>IF(C127&lt;&gt;"",AC127*(1-IF(A127&lt;&gt;"Græs",VLOOKUP(A127,'Kategorisering af kcal'!$A$2:$E$18,MATCH('Produktion &amp; forbrug'!F127,'Kategorisering af kcal'!$A$1:$E$1,0),FALSE),HLOOKUP(F127,Græsprotein!$C$2:$E$8,7))),'Produktion &amp; forbrug'!AC127)</f>
        <v>0</v>
      </c>
      <c r="AF127" s="94">
        <f t="shared" si="24"/>
        <v>0</v>
      </c>
      <c r="AG127">
        <f>IF(AC127&lt;0,AD127,G127*E127*10000*VLOOKUP(A127,[1]kcal!$A$2:$C$49,3,FALSE)/1000000000000*IFERROR(VLOOKUP(A127,'Kategorisering af kcal'!$A$2:$E$18,MATCH('Produktion &amp; forbrug'!F127,'Kategorisering af kcal'!$A$1:$E$1,0),FALSE),0))</f>
        <v>0</v>
      </c>
    </row>
    <row r="128" spans="1:33" x14ac:dyDescent="0.25">
      <c r="A128" s="171" t="str">
        <f t="shared" si="28"/>
        <v>Muslinger</v>
      </c>
      <c r="B128" s="171" t="str">
        <f t="shared" si="29"/>
        <v>Havbiomasse</v>
      </c>
      <c r="C128" s="171" t="str">
        <f>IFERROR(VLOOKUP(A128,'Kategorisering af kcal'!$A$2:$B$18,2,FALSE),"")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30"/>
        <v>1</v>
      </c>
      <c r="F128" s="171">
        <f t="shared" si="25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8"/>
        <v>880.09999999999991</v>
      </c>
      <c r="P128" s="94">
        <f t="shared" si="19"/>
        <v>880.09999999999991</v>
      </c>
      <c r="Q128" s="180">
        <f t="shared" si="20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1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2"/>
        <v>132.01499999999999</v>
      </c>
      <c r="Z128">
        <f t="shared" si="26"/>
        <v>0</v>
      </c>
      <c r="AA128">
        <f t="shared" si="27"/>
        <v>1</v>
      </c>
      <c r="AC128" s="94">
        <f t="shared" si="23"/>
        <v>880.09999999999991</v>
      </c>
      <c r="AD128">
        <f>AC128*E128*10000*VLOOKUP(A128,[1]kcal!$A$2:$C$49,3,FALSE)/1000000000000*IFERROR(VLOOKUP(A128,'Kategorisering af kcal'!$A$2:$E$18,MATCH('Produktion &amp; forbrug'!F128,'Kategorisering af kcal'!$A$1:$E$1,0),FALSE),0)</f>
        <v>7.3048299999999998E-4</v>
      </c>
      <c r="AE128">
        <f>IF(C128&lt;&gt;"",AC128*(1-IF(A128&lt;&gt;"Græs",VLOOKUP(A128,'Kategorisering af kcal'!$A$2:$E$18,MATCH('Produktion &amp; forbrug'!F128,'Kategorisering af kcal'!$A$1:$E$1,0),FALSE),HLOOKUP(F128,Græsprotein!$C$2:$E$8,7))),'Produktion &amp; forbrug'!AC128)</f>
        <v>0</v>
      </c>
      <c r="AF128" s="94">
        <f t="shared" si="24"/>
        <v>880.09999999999991</v>
      </c>
      <c r="AG128">
        <f>IF(AC128&lt;0,AD128,G128*E128*10000*VLOOKUP(A128,[1]kcal!$A$2:$C$49,3,FALSE)/1000000000000*IFERROR(VLOOKUP(A128,'Kategorisering af kcal'!$A$2:$E$18,MATCH('Produktion &amp; forbrug'!F128,'Kategorisering af kcal'!$A$1:$E$1,0),FALSE),0))</f>
        <v>7.3048299999999998E-4</v>
      </c>
    </row>
    <row r="129" spans="1:33" x14ac:dyDescent="0.25">
      <c r="A129" s="171" t="str">
        <f t="shared" si="28"/>
        <v>Oksekød</v>
      </c>
      <c r="B129" s="171" t="str">
        <f t="shared" si="29"/>
        <v/>
      </c>
      <c r="C129" s="171" t="str">
        <f>IFERROR(VLOOKUP(A129,'Kategorisering af kcal'!$A$2:$B$18,2,FALSE),"")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30"/>
        <v>1</v>
      </c>
      <c r="F129" s="171">
        <f t="shared" si="25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4193.3637747548428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0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8"/>
        <v>4193.3637747548428</v>
      </c>
      <c r="P129" s="94">
        <f t="shared" si="19"/>
        <v>0</v>
      </c>
      <c r="Q129" s="180">
        <f t="shared" si="20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1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2"/>
        <v>0</v>
      </c>
      <c r="Z129">
        <f t="shared" si="26"/>
        <v>0</v>
      </c>
      <c r="AA129">
        <f t="shared" si="27"/>
        <v>1</v>
      </c>
      <c r="AC129" s="94">
        <f t="shared" si="23"/>
        <v>4193.3637747548428</v>
      </c>
      <c r="AD129">
        <f>AC129*E129*10000*VLOOKUP(A129,[1]kcal!$A$2:$C$49,3,FALSE)/1000000000000*IFERROR(VLOOKUP(A129,'Kategorisering af kcal'!$A$2:$E$18,MATCH('Produktion &amp; forbrug'!F129,'Kategorisering af kcal'!$A$1:$E$1,0),FALSE),0)</f>
        <v>8.177059360771944E-3</v>
      </c>
      <c r="AE129">
        <f>IF(C129&lt;&gt;"",AC129*(1-IF(A129&lt;&gt;"Græs",VLOOKUP(A129,'Kategorisering af kcal'!$A$2:$E$18,MATCH('Produktion &amp; forbrug'!F129,'Kategorisering af kcal'!$A$1:$E$1,0),FALSE),HLOOKUP(F129,Græsprotein!$C$2:$E$8,7))),'Produktion &amp; forbrug'!AC129)</f>
        <v>0</v>
      </c>
      <c r="AF129" s="94">
        <f t="shared" si="24"/>
        <v>4193.3637747548428</v>
      </c>
      <c r="AG129">
        <f>IF(AC129&lt;0,AD129,G129*E129*10000*VLOOKUP(A129,[1]kcal!$A$2:$C$49,3,FALSE)/1000000000000*IFERROR(VLOOKUP(A129,'Kategorisering af kcal'!$A$2:$E$18,MATCH('Produktion &amp; forbrug'!F129,'Kategorisering af kcal'!$A$1:$E$1,0),FALSE),0))</f>
        <v>8.177059360771944E-3</v>
      </c>
    </row>
    <row r="130" spans="1:33" x14ac:dyDescent="0.25">
      <c r="A130" s="171" t="str">
        <f t="shared" si="28"/>
        <v>Øvrige</v>
      </c>
      <c r="B130" s="171" t="str">
        <f t="shared" si="29"/>
        <v/>
      </c>
      <c r="C130" s="171" t="str">
        <f>IFERROR(VLOOKUP(A130,'Kategorisering af kcal'!$A$2:$B$18,2,FALSE),"")</f>
        <v/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30"/>
        <v>1</v>
      </c>
      <c r="F130" s="171">
        <f t="shared" si="25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120867.78516734685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8"/>
        <v>120867.78516734685</v>
      </c>
      <c r="P130" s="94">
        <f t="shared" si="19"/>
        <v>0</v>
      </c>
      <c r="Q130" s="180">
        <f t="shared" si="20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1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2"/>
        <v>0</v>
      </c>
      <c r="Z130">
        <f t="shared" si="26"/>
        <v>0</v>
      </c>
      <c r="AA130">
        <f t="shared" si="27"/>
        <v>1</v>
      </c>
      <c r="AC130" s="94">
        <f t="shared" si="23"/>
        <v>120867.78516734685</v>
      </c>
      <c r="AD130">
        <f>AC130*E130*10000*VLOOKUP(A130,[1]kcal!$A$2:$C$49,3,FALSE)/1000000000000*IFERROR(VLOOKUP(A130,'Kategorisering af kcal'!$A$2:$E$18,MATCH('Produktion &amp; forbrug'!F130,'Kategorisering af kcal'!$A$1:$E$1,0),FALSE),0)</f>
        <v>0</v>
      </c>
      <c r="AE130">
        <f>IF(C130&lt;&gt;"",AC130*(1-IF(A130&lt;&gt;"Græs",VLOOKUP(A130,'Kategorisering af kcal'!$A$2:$E$18,MATCH('Produktion &amp; forbrug'!F130,'Kategorisering af kcal'!$A$1:$E$1,0),FALSE),HLOOKUP(F130,Græsprotein!$C$2:$E$8,7))),'Produktion &amp; forbrug'!AC130)</f>
        <v>120867.78516734685</v>
      </c>
      <c r="AF130" s="94">
        <f t="shared" si="24"/>
        <v>0</v>
      </c>
      <c r="AG130">
        <f>IF(AC130&lt;0,AD130,G130*E130*10000*VLOOKUP(A130,[1]kcal!$A$2:$C$49,3,FALSE)/1000000000000*IFERROR(VLOOKUP(A130,'Kategorisering af kcal'!$A$2:$E$18,MATCH('Produktion &amp; forbrug'!F130,'Kategorisering af kcal'!$A$1:$E$1,0),FALSE),0))</f>
        <v>0</v>
      </c>
    </row>
    <row r="131" spans="1:33" x14ac:dyDescent="0.25">
      <c r="A131" s="171" t="str">
        <f t="shared" si="28"/>
        <v>Pil &amp; poppel</v>
      </c>
      <c r="B131" s="171" t="str">
        <f t="shared" si="29"/>
        <v>Vedmasse</v>
      </c>
      <c r="C131" s="171" t="str">
        <f>IFERROR(VLOOKUP(A131,'Kategorisering af kcal'!$A$2:$B$18,2,FALSE),"")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30"/>
        <v>0</v>
      </c>
      <c r="F131" s="171">
        <f t="shared" si="25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1753629.766003873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1753629.766003873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8"/>
        <v>0</v>
      </c>
      <c r="P131" s="94">
        <f t="shared" si="19"/>
        <v>0</v>
      </c>
      <c r="Q131" s="180">
        <f t="shared" si="20"/>
        <v>1753629.766003873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32.266787694471255</v>
      </c>
      <c r="T131">
        <f>IFERROR(VLOOKUP(A131,[1]Biogasudbytte!$A$2:$B$18,2,FALSE)*[1]Energiindhold!$C$10,0)*K131*IFERROR(VLOOKUP(A131,Biogasanlæg!$F$3:$G$8,2,FALSE),1)</f>
        <v>0</v>
      </c>
      <c r="U131" s="170">
        <f t="shared" si="21"/>
        <v>32.266787694471255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727756.35289160733</v>
      </c>
      <c r="X131">
        <f>K131*IFERROR(VLOOKUP(A131,[1]Tørstofindhold!A$2:B$24,2,FALSE),0)</f>
        <v>0</v>
      </c>
      <c r="Y131" s="170">
        <f t="shared" si="22"/>
        <v>727756.35289160733</v>
      </c>
      <c r="Z131">
        <f t="shared" si="26"/>
        <v>0</v>
      </c>
      <c r="AA131">
        <f t="shared" si="27"/>
        <v>0</v>
      </c>
      <c r="AC131" s="94">
        <f t="shared" si="23"/>
        <v>1753629.766003873</v>
      </c>
      <c r="AD131">
        <f>AC131*E131*10000*VLOOKUP(A131,[1]kcal!$A$2:$C$49,3,FALSE)/1000000000000*IFERROR(VLOOKUP(A131,'Kategorisering af kcal'!$A$2:$E$18,MATCH('Produktion &amp; forbrug'!F131,'Kategorisering af kcal'!$A$1:$E$1,0),FALSE),0)</f>
        <v>0</v>
      </c>
      <c r="AE131">
        <f>IF(C131&lt;&gt;"",AC131*(1-IF(A131&lt;&gt;"Græs",VLOOKUP(A131,'Kategorisering af kcal'!$A$2:$E$18,MATCH('Produktion &amp; forbrug'!F131,'Kategorisering af kcal'!$A$1:$E$1,0),FALSE),HLOOKUP(F131,Græsprotein!$C$2:$E$8,7))),'Produktion &amp; forbrug'!AC131)</f>
        <v>1753629.766003873</v>
      </c>
      <c r="AF131" s="94">
        <f t="shared" si="24"/>
        <v>0</v>
      </c>
      <c r="AG131">
        <f>IF(AC131&lt;0,AD131,G131*E131*10000*VLOOKUP(A131,[1]kcal!$A$2:$C$49,3,FALSE)/1000000000000*IFERROR(VLOOKUP(A131,'Kategorisering af kcal'!$A$2:$E$18,MATCH('Produktion &amp; forbrug'!F131,'Kategorisering af kcal'!$A$1:$E$1,0),FALSE),0))</f>
        <v>0</v>
      </c>
    </row>
    <row r="132" spans="1:33" x14ac:dyDescent="0.25">
      <c r="A132" s="171" t="str">
        <f t="shared" si="28"/>
        <v>Pyrolysegas</v>
      </c>
      <c r="B132" s="171" t="str">
        <f t="shared" si="29"/>
        <v>Pyrolyseprodukter</v>
      </c>
      <c r="C132" s="171" t="str">
        <f>IFERROR(VLOOKUP(A132,'Kategorisering af kcal'!$A$2:$B$18,2,FALSE),"")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30"/>
        <v>0</v>
      </c>
      <c r="F132" s="171">
        <f t="shared" si="25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8"/>
        <v>0</v>
      </c>
      <c r="P132" s="94">
        <f t="shared" si="19"/>
        <v>0</v>
      </c>
      <c r="Q132" s="180">
        <f t="shared" si="20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1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2"/>
        <v>0</v>
      </c>
      <c r="Z132">
        <f t="shared" ref="Z132:Z147" si="31">IF(SUMIFS($O$4:$O$147,$A$4:$A$147,A132,$F$4:$F$147,F132)&lt;0,1,0)</f>
        <v>0</v>
      </c>
      <c r="AA132">
        <f t="shared" ref="AA132:AA147" si="32">IF(SUMIFS($O$4:$O$147,$A$4:$A$147,A132,$F$4:$F$147,F132)&gt;0,1,0)</f>
        <v>0</v>
      </c>
      <c r="AC132" s="94">
        <f t="shared" si="23"/>
        <v>0</v>
      </c>
      <c r="AD132">
        <f>AC132*E132*10000*VLOOKUP(A132,[1]kcal!$A$2:$C$49,3,FALSE)/1000000000000*IFERROR(VLOOKUP(A132,'Kategorisering af kcal'!$A$2:$E$18,MATCH('Produktion &amp; forbrug'!F132,'Kategorisering af kcal'!$A$1:$E$1,0),FALSE),0)</f>
        <v>0</v>
      </c>
      <c r="AE132">
        <f>IF(C132&lt;&gt;"",AC132*(1-IF(A132&lt;&gt;"Græs",VLOOKUP(A132,'Kategorisering af kcal'!$A$2:$E$18,MATCH('Produktion &amp; forbrug'!F132,'Kategorisering af kcal'!$A$1:$E$1,0),FALSE),HLOOKUP(F132,Græsprotein!$C$2:$E$8,7))),'Produktion &amp; forbrug'!AC132)</f>
        <v>0</v>
      </c>
      <c r="AF132" s="94">
        <f t="shared" si="24"/>
        <v>0</v>
      </c>
      <c r="AG132">
        <f>IF(AC132&lt;0,AD132,G132*E132*10000*VLOOKUP(A132,[1]kcal!$A$2:$C$49,3,FALSE)/1000000000000*IFERROR(VLOOKUP(A132,'Kategorisering af kcal'!$A$2:$E$18,MATCH('Produktion &amp; forbrug'!F132,'Kategorisering af kcal'!$A$1:$E$1,0),FALSE),0))</f>
        <v>0</v>
      </c>
    </row>
    <row r="133" spans="1:33" x14ac:dyDescent="0.25">
      <c r="A133" s="171" t="str">
        <f t="shared" si="28"/>
        <v>Pyrolyseolie</v>
      </c>
      <c r="B133" s="171" t="str">
        <f t="shared" si="29"/>
        <v>Pyrolyseprodukter</v>
      </c>
      <c r="C133" s="171" t="str">
        <f>IFERROR(VLOOKUP(A133,'Kategorisering af kcal'!$A$2:$B$18,2,FALSE),"")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30"/>
        <v>0</v>
      </c>
      <c r="F133" s="171">
        <f t="shared" si="25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8"/>
        <v>0</v>
      </c>
      <c r="P133" s="94">
        <f t="shared" ref="P133:P147" si="33">IF(D133=1,MAX(O133,0),0)</f>
        <v>0</v>
      </c>
      <c r="Q133" s="180">
        <f t="shared" si="20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1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2"/>
        <v>0</v>
      </c>
      <c r="Z133">
        <f t="shared" si="31"/>
        <v>0</v>
      </c>
      <c r="AA133">
        <f t="shared" si="32"/>
        <v>0</v>
      </c>
      <c r="AC133" s="94">
        <f t="shared" ref="AC133:AC147" si="34">G133-SUMPRODUCT($H$2:$N$2,H133:N133)</f>
        <v>0</v>
      </c>
      <c r="AD133">
        <f>AC133*E133*10000*VLOOKUP(A133,[1]kcal!$A$2:$C$49,3,FALSE)/1000000000000*IFERROR(VLOOKUP(A133,'Kategorisering af kcal'!$A$2:$E$18,MATCH('Produktion &amp; forbrug'!F133,'Kategorisering af kcal'!$A$1:$E$1,0),FALSE),0)</f>
        <v>0</v>
      </c>
      <c r="AE133">
        <f>IF(C133&lt;&gt;"",AC133*(1-IF(A133&lt;&gt;"Græs",VLOOKUP(A133,'Kategorisering af kcal'!$A$2:$E$18,MATCH('Produktion &amp; forbrug'!F133,'Kategorisering af kcal'!$A$1:$E$1,0),FALSE),HLOOKUP(F133,Græsprotein!$C$2:$E$8,7))),'Produktion &amp; forbrug'!AC133)</f>
        <v>0</v>
      </c>
      <c r="AF133" s="94">
        <f t="shared" ref="AF133:AF147" si="35">AC133-AE133</f>
        <v>0</v>
      </c>
      <c r="AG133">
        <f>IF(AC133&lt;0,AD133,G133*E133*10000*VLOOKUP(A133,[1]kcal!$A$2:$C$49,3,FALSE)/1000000000000*IFERROR(VLOOKUP(A133,'Kategorisering af kcal'!$A$2:$E$18,MATCH('Produktion &amp; forbrug'!F133,'Kategorisering af kcal'!$A$1:$E$1,0),FALSE),0))</f>
        <v>0</v>
      </c>
    </row>
    <row r="134" spans="1:33" x14ac:dyDescent="0.25">
      <c r="A134" s="171" t="str">
        <f t="shared" si="28"/>
        <v>Råmælk</v>
      </c>
      <c r="B134" s="171" t="str">
        <f t="shared" si="29"/>
        <v/>
      </c>
      <c r="C134" s="171" t="str">
        <f>IFERROR(VLOOKUP(A134,'Kategorisering af kcal'!$A$2:$B$18,2,FALSE),"")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30"/>
        <v>0</v>
      </c>
      <c r="F134" s="171">
        <f t="shared" si="25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0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8"/>
        <v>0</v>
      </c>
      <c r="P134" s="94">
        <f t="shared" si="33"/>
        <v>0</v>
      </c>
      <c r="Q134" s="180">
        <f t="shared" si="20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1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2"/>
        <v>0</v>
      </c>
      <c r="Z134">
        <f t="shared" si="31"/>
        <v>0</v>
      </c>
      <c r="AA134">
        <f t="shared" si="32"/>
        <v>0</v>
      </c>
      <c r="AC134" s="94">
        <f t="shared" si="34"/>
        <v>0</v>
      </c>
      <c r="AD134">
        <f>AC134*E134*10000*VLOOKUP(A134,[1]kcal!$A$2:$C$49,3,FALSE)/1000000000000*IFERROR(VLOOKUP(A134,'Kategorisering af kcal'!$A$2:$E$18,MATCH('Produktion &amp; forbrug'!F134,'Kategorisering af kcal'!$A$1:$E$1,0),FALSE),0)</f>
        <v>0</v>
      </c>
      <c r="AE134">
        <f>IF(C134&lt;&gt;"",AC134*(1-IF(A134&lt;&gt;"Græs",VLOOKUP(A134,'Kategorisering af kcal'!$A$2:$E$18,MATCH('Produktion &amp; forbrug'!F134,'Kategorisering af kcal'!$A$1:$E$1,0),FALSE),HLOOKUP(F134,Græsprotein!$C$2:$E$8,7))),'Produktion &amp; forbrug'!AC134)</f>
        <v>0</v>
      </c>
      <c r="AF134" s="94">
        <f t="shared" si="35"/>
        <v>0</v>
      </c>
      <c r="AG134">
        <f>IF(AC134&lt;0,AD134,G134*E134*10000*VLOOKUP(A134,[1]kcal!$A$2:$C$49,3,FALSE)/1000000000000*IFERROR(VLOOKUP(A134,'Kategorisering af kcal'!$A$2:$E$18,MATCH('Produktion &amp; forbrug'!F134,'Kategorisering af kcal'!$A$1:$E$1,0),FALSE),0))</f>
        <v>0</v>
      </c>
    </row>
    <row r="135" spans="1:33" x14ac:dyDescent="0.25">
      <c r="A135" s="171" t="str">
        <f t="shared" si="28"/>
        <v>Raps</v>
      </c>
      <c r="B135" s="171" t="str">
        <f t="shared" si="29"/>
        <v/>
      </c>
      <c r="C135" s="171" t="str">
        <f>IFERROR(VLOOKUP(A135,'Kategorisering af kcal'!$A$2:$B$18,2,FALSE),"")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30"/>
        <v>0</v>
      </c>
      <c r="F135" s="171">
        <f t="shared" si="25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865274.96481497539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865274.96481497539</v>
      </c>
      <c r="O135" s="179">
        <f t="shared" ref="O135:O147" si="36">G135-SUM(H135:N135)</f>
        <v>0</v>
      </c>
      <c r="P135" s="94">
        <f t="shared" si="33"/>
        <v>0</v>
      </c>
      <c r="Q135" s="180">
        <f t="shared" ref="Q135:Q147" si="37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8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9">W135-X135</f>
        <v>0</v>
      </c>
      <c r="Z135">
        <f t="shared" si="31"/>
        <v>0</v>
      </c>
      <c r="AA135">
        <f t="shared" si="32"/>
        <v>0</v>
      </c>
      <c r="AC135" s="94">
        <f t="shared" si="34"/>
        <v>0</v>
      </c>
      <c r="AD135">
        <f>AC135*E135*10000*VLOOKUP(A135,[1]kcal!$A$2:$C$49,3,FALSE)/1000000000000*IFERROR(VLOOKUP(A135,'Kategorisering af kcal'!$A$2:$E$18,MATCH('Produktion &amp; forbrug'!F135,'Kategorisering af kcal'!$A$1:$E$1,0),FALSE),0)</f>
        <v>0</v>
      </c>
      <c r="AE135">
        <f>IF(C135&lt;&gt;"",AC135*(1-IF(A135&lt;&gt;"Græs",VLOOKUP(A135,'Kategorisering af kcal'!$A$2:$E$18,MATCH('Produktion &amp; forbrug'!F135,'Kategorisering af kcal'!$A$1:$E$1,0),FALSE),HLOOKUP(F135,Græsprotein!$C$2:$E$8,7))),'Produktion &amp; forbrug'!AC135)</f>
        <v>0</v>
      </c>
      <c r="AF135" s="94">
        <f t="shared" si="35"/>
        <v>0</v>
      </c>
      <c r="AG135">
        <f>IF(AC135&lt;0,AD135,G135*E135*10000*VLOOKUP(A135,[1]kcal!$A$2:$C$49,3,FALSE)/1000000000000*IFERROR(VLOOKUP(A135,'Kategorisering af kcal'!$A$2:$E$18,MATCH('Produktion &amp; forbrug'!F135,'Kategorisering af kcal'!$A$1:$E$1,0),FALSE),0))</f>
        <v>0</v>
      </c>
    </row>
    <row r="136" spans="1:33" x14ac:dyDescent="0.25">
      <c r="A136" s="171" t="str">
        <f t="shared" si="28"/>
        <v>Rapskage</v>
      </c>
      <c r="B136" s="171" t="str">
        <f t="shared" si="29"/>
        <v/>
      </c>
      <c r="C136" s="171" t="str">
        <f>IFERROR(VLOOKUP(A136,'Kategorisering af kcal'!$A$2:$B$18,2,FALSE),"")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30"/>
        <v>0</v>
      </c>
      <c r="F136" s="171">
        <f t="shared" si="25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432637.4824074877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20340.992871107879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6"/>
        <v>412296.48953637981</v>
      </c>
      <c r="P136" s="94">
        <f t="shared" si="33"/>
        <v>0</v>
      </c>
      <c r="Q136" s="180">
        <f t="shared" si="3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8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9"/>
        <v>0</v>
      </c>
      <c r="Z136">
        <f t="shared" si="31"/>
        <v>0</v>
      </c>
      <c r="AA136">
        <f t="shared" si="32"/>
        <v>1</v>
      </c>
      <c r="AC136" s="94">
        <f t="shared" si="34"/>
        <v>412296.48953637981</v>
      </c>
      <c r="AD136">
        <f>AC136*E136*10000*VLOOKUP(A136,[1]kcal!$A$2:$C$49,3,FALSE)/1000000000000*IFERROR(VLOOKUP(A136,'Kategorisering af kcal'!$A$2:$E$18,MATCH('Produktion &amp; forbrug'!F136,'Kategorisering af kcal'!$A$1:$E$1,0),FALSE),0)</f>
        <v>0</v>
      </c>
      <c r="AE136">
        <f>IF(C136&lt;&gt;"",AC136*(1-IF(A136&lt;&gt;"Græs",VLOOKUP(A136,'Kategorisering af kcal'!$A$2:$E$18,MATCH('Produktion &amp; forbrug'!F136,'Kategorisering af kcal'!$A$1:$E$1,0),FALSE),HLOOKUP(F136,Græsprotein!$C$2:$E$8,7))),'Produktion &amp; forbrug'!AC136)</f>
        <v>412296.48953637981</v>
      </c>
      <c r="AF136" s="94">
        <f t="shared" si="35"/>
        <v>0</v>
      </c>
      <c r="AG136">
        <f>IF(AC136&lt;0,AD136,G136*E136*10000*VLOOKUP(A136,[1]kcal!$A$2:$C$49,3,FALSE)/1000000000000*IFERROR(VLOOKUP(A136,'Kategorisering af kcal'!$A$2:$E$18,MATCH('Produktion &amp; forbrug'!F136,'Kategorisering af kcal'!$A$1:$E$1,0),FALSE),0))</f>
        <v>0</v>
      </c>
    </row>
    <row r="137" spans="1:33" x14ac:dyDescent="0.25">
      <c r="A137" s="171" t="str">
        <f t="shared" si="28"/>
        <v>Rapsolie</v>
      </c>
      <c r="B137" s="171" t="str">
        <f t="shared" si="29"/>
        <v>Rapsolie</v>
      </c>
      <c r="C137" s="171" t="str">
        <f>IFERROR(VLOOKUP(A137,'Kategorisering af kcal'!$A$2:$B$18,2,FALSE),"")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30"/>
        <v>1</v>
      </c>
      <c r="F137" s="171">
        <f t="shared" si="25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276887.98874079209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276887.98874079209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6"/>
        <v>0</v>
      </c>
      <c r="P137" s="94">
        <f t="shared" si="33"/>
        <v>0</v>
      </c>
      <c r="Q137" s="180">
        <f t="shared" si="37"/>
        <v>276887.98874079209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9.6910796059277224</v>
      </c>
      <c r="T137">
        <f>IFERROR(VLOOKUP(A137,[1]Biogasudbytte!$A$2:$B$18,2,FALSE)*[1]Energiindhold!$C$10,0)*K137*IFERROR(VLOOKUP(A137,Biogasanlæg!$F$3:$G$8,2,FALSE),1)</f>
        <v>0</v>
      </c>
      <c r="U137" s="170">
        <f t="shared" si="38"/>
        <v>9.6910796059277224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9"/>
        <v>0</v>
      </c>
      <c r="Z137">
        <f t="shared" si="31"/>
        <v>0</v>
      </c>
      <c r="AA137">
        <f t="shared" si="32"/>
        <v>0</v>
      </c>
      <c r="AC137" s="94">
        <f t="shared" si="34"/>
        <v>276887.98874079209</v>
      </c>
      <c r="AD137">
        <f>AC137*E137*10000*VLOOKUP(A137,[1]kcal!$A$2:$C$49,3,FALSE)/1000000000000*IFERROR(VLOOKUP(A137,'Kategorisering af kcal'!$A$2:$E$18,MATCH('Produktion &amp; forbrug'!F137,'Kategorisering af kcal'!$A$1:$E$1,0),FALSE),0)</f>
        <v>2.4919918986671288</v>
      </c>
      <c r="AE137">
        <f>IF(C137&lt;&gt;"",AC137*(1-IF(A137&lt;&gt;"Græs",VLOOKUP(A137,'Kategorisering af kcal'!$A$2:$E$18,MATCH('Produktion &amp; forbrug'!F137,'Kategorisering af kcal'!$A$1:$E$1,0),FALSE),HLOOKUP(F137,Græsprotein!$C$2:$E$8,7))),'Produktion &amp; forbrug'!AC137)</f>
        <v>0</v>
      </c>
      <c r="AF137" s="94">
        <f t="shared" si="35"/>
        <v>276887.98874079209</v>
      </c>
      <c r="AG137">
        <f>IF(AC137&lt;0,AD137,G137*E137*10000*VLOOKUP(A137,[1]kcal!$A$2:$C$49,3,FALSE)/1000000000000*IFERROR(VLOOKUP(A137,'Kategorisering af kcal'!$A$2:$E$18,MATCH('Produktion &amp; forbrug'!F137,'Kategorisering af kcal'!$A$1:$E$1,0),FALSE),0))</f>
        <v>2.4919918986671288</v>
      </c>
    </row>
    <row r="138" spans="1:33" x14ac:dyDescent="0.25">
      <c r="A138" s="171" t="str">
        <f t="shared" si="28"/>
        <v>Roer</v>
      </c>
      <c r="B138" s="171" t="str">
        <f t="shared" si="29"/>
        <v>Græs og urter</v>
      </c>
      <c r="C138" s="171" t="str">
        <f>IFERROR(VLOOKUP(A138,'Kategorisering af kcal'!$A$2:$B$18,2,FALSE),"")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30"/>
        <v>1</v>
      </c>
      <c r="F138" s="171">
        <f t="shared" si="25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3664592.462337262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79917.122619122587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6"/>
        <v>3584675.3397181393</v>
      </c>
      <c r="P138" s="94">
        <f t="shared" si="33"/>
        <v>3584675.3397181393</v>
      </c>
      <c r="Q138" s="180">
        <f t="shared" si="37"/>
        <v>0</v>
      </c>
      <c r="R138">
        <f>IFERROR(VLOOKUP(A138,[1]Energiindhold!$A$2:$C$11,3,FALSE),IFERROR(VLOOKUP(A138,[1]Biogasudbytte!$A$2:$B$18,2,FALSE)*[1]Energiindhold!$C$10,0))*P138</f>
        <v>9.7289522590086186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9.7289522590086186</v>
      </c>
      <c r="T138">
        <f>IFERROR(VLOOKUP(A138,[1]Biogasudbytte!$A$2:$B$18,2,FALSE)*[1]Energiindhold!$C$10,0)*K138*IFERROR(VLOOKUP(A138,Biogasanlæg!$F$3:$G$8,2,FALSE),1)</f>
        <v>0</v>
      </c>
      <c r="U138" s="170">
        <f t="shared" si="38"/>
        <v>9.7289522590086186</v>
      </c>
      <c r="V138" s="169">
        <f>P138*IFERROR(VLOOKUP(A138,[1]Tørstofindhold!A$2:B$24,2,FALSE),0)</f>
        <v>716935.06794362795</v>
      </c>
      <c r="W138">
        <f>IF(F138=År1,Q138,SUM(P138,Q138))*IFERROR(VLOOKUP(A138,[1]Tørstofindhold!A$2:B$24,2,FALSE),0)</f>
        <v>716935.06794362795</v>
      </c>
      <c r="X138">
        <f>K138*IFERROR(VLOOKUP(A138,[1]Tørstofindhold!A$2:B$24,2,FALSE),0)</f>
        <v>0</v>
      </c>
      <c r="Y138" s="170">
        <f t="shared" si="39"/>
        <v>716935.06794362795</v>
      </c>
      <c r="Z138">
        <f t="shared" si="31"/>
        <v>0</v>
      </c>
      <c r="AA138">
        <f t="shared" si="32"/>
        <v>1</v>
      </c>
      <c r="AC138" s="94">
        <f t="shared" si="34"/>
        <v>3584675.3397181393</v>
      </c>
      <c r="AD138">
        <f>AC138*E138*10000*VLOOKUP(A138,[1]kcal!$A$2:$C$49,3,FALSE)/1000000000000*IFERROR(VLOOKUP(A138,'Kategorisering af kcal'!$A$2:$E$18,MATCH('Produktion &amp; forbrug'!F138,'Kategorisering af kcal'!$A$1:$E$1,0),FALSE),0)</f>
        <v>1.0754026019154417</v>
      </c>
      <c r="AE138">
        <f>IF(C138&lt;&gt;"",AC138*(1-IF(A138&lt;&gt;"Græs",VLOOKUP(A138,'Kategorisering af kcal'!$A$2:$E$18,MATCH('Produktion &amp; forbrug'!F138,'Kategorisering af kcal'!$A$1:$E$1,0),FALSE),HLOOKUP(F138,Græsprotein!$C$2:$E$8,7))),'Produktion &amp; forbrug'!AC138)</f>
        <v>0</v>
      </c>
      <c r="AF138" s="94">
        <f t="shared" si="35"/>
        <v>3584675.3397181393</v>
      </c>
      <c r="AG138">
        <f>IF(AC138&lt;0,AD138,G138*E138*10000*VLOOKUP(A138,[1]kcal!$A$2:$C$49,3,FALSE)/1000000000000*IFERROR(VLOOKUP(A138,'Kategorisering af kcal'!$A$2:$E$18,MATCH('Produktion &amp; forbrug'!F138,'Kategorisering af kcal'!$A$1:$E$1,0),FALSE),0))</f>
        <v>1.0993777387011785</v>
      </c>
    </row>
    <row r="139" spans="1:33" x14ac:dyDescent="0.25">
      <c r="A139" s="171" t="str">
        <f t="shared" si="28"/>
        <v>Slagteriaffald til andet</v>
      </c>
      <c r="B139" s="171" t="str">
        <f t="shared" si="29"/>
        <v/>
      </c>
      <c r="C139" s="171" t="str">
        <f>IFERROR(VLOOKUP(A139,'Kategorisering af kcal'!$A$2:$B$18,2,FALSE),"")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30"/>
        <v>0</v>
      </c>
      <c r="F139" s="171">
        <f t="shared" si="25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7693.1684467145769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6"/>
        <v>7693.1684467145769</v>
      </c>
      <c r="P139" s="94">
        <f t="shared" si="33"/>
        <v>0</v>
      </c>
      <c r="Q139" s="180">
        <f t="shared" si="3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8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9"/>
        <v>0</v>
      </c>
      <c r="Z139">
        <f t="shared" si="31"/>
        <v>0</v>
      </c>
      <c r="AA139">
        <f t="shared" si="32"/>
        <v>1</v>
      </c>
      <c r="AC139" s="94">
        <f t="shared" si="34"/>
        <v>7693.1684467145769</v>
      </c>
      <c r="AD139">
        <f>AC139*E139*10000*VLOOKUP(A139,[1]kcal!$A$2:$C$49,3,FALSE)/1000000000000*IFERROR(VLOOKUP(A139,'Kategorisering af kcal'!$A$2:$E$18,MATCH('Produktion &amp; forbrug'!F139,'Kategorisering af kcal'!$A$1:$E$1,0),FALSE),0)</f>
        <v>0</v>
      </c>
      <c r="AE139">
        <f>IF(C139&lt;&gt;"",AC139*(1-IF(A139&lt;&gt;"Græs",VLOOKUP(A139,'Kategorisering af kcal'!$A$2:$E$18,MATCH('Produktion &amp; forbrug'!F139,'Kategorisering af kcal'!$A$1:$E$1,0),FALSE),HLOOKUP(F139,Græsprotein!$C$2:$E$8,7))),'Produktion &amp; forbrug'!AC139)</f>
        <v>7693.1684467145769</v>
      </c>
      <c r="AF139" s="94">
        <f t="shared" si="35"/>
        <v>0</v>
      </c>
      <c r="AG139">
        <f>IF(AC139&lt;0,AD139,G139*E139*10000*VLOOKUP(A139,[1]kcal!$A$2:$C$49,3,FALSE)/1000000000000*IFERROR(VLOOKUP(A139,'Kategorisering af kcal'!$A$2:$E$18,MATCH('Produktion &amp; forbrug'!F139,'Kategorisering af kcal'!$A$1:$E$1,0),FALSE),0))</f>
        <v>0</v>
      </c>
    </row>
    <row r="140" spans="1:33" x14ac:dyDescent="0.25">
      <c r="A140" s="171" t="str">
        <f t="shared" si="28"/>
        <v>Slagteriaffald til foder</v>
      </c>
      <c r="B140" s="171" t="str">
        <f t="shared" si="29"/>
        <v/>
      </c>
      <c r="C140" s="171" t="str">
        <f>IFERROR(VLOOKUP(A140,'Kategorisering af kcal'!$A$2:$B$18,2,FALSE),"")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30"/>
        <v>0</v>
      </c>
      <c r="F140" s="171">
        <f t="shared" si="25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5268.7991071934384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5027.2040456510467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6"/>
        <v>241.5950615423917</v>
      </c>
      <c r="P140" s="94">
        <f t="shared" si="33"/>
        <v>0</v>
      </c>
      <c r="Q140" s="180">
        <f t="shared" si="3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8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9"/>
        <v>0</v>
      </c>
      <c r="Z140">
        <f t="shared" si="31"/>
        <v>0</v>
      </c>
      <c r="AA140">
        <f t="shared" si="32"/>
        <v>1</v>
      </c>
      <c r="AC140" s="94">
        <f t="shared" si="34"/>
        <v>241.5950615423917</v>
      </c>
      <c r="AD140">
        <f>AC140*E140*10000*VLOOKUP(A140,[1]kcal!$A$2:$C$49,3,FALSE)/1000000000000*IFERROR(VLOOKUP(A140,'Kategorisering af kcal'!$A$2:$E$18,MATCH('Produktion &amp; forbrug'!F140,'Kategorisering af kcal'!$A$1:$E$1,0),FALSE),0)</f>
        <v>0</v>
      </c>
      <c r="AE140">
        <f>IF(C140&lt;&gt;"",AC140*(1-IF(A140&lt;&gt;"Græs",VLOOKUP(A140,'Kategorisering af kcal'!$A$2:$E$18,MATCH('Produktion &amp; forbrug'!F140,'Kategorisering af kcal'!$A$1:$E$1,0),FALSE),HLOOKUP(F140,Græsprotein!$C$2:$E$8,7))),'Produktion &amp; forbrug'!AC140)</f>
        <v>241.5950615423917</v>
      </c>
      <c r="AF140" s="94">
        <f t="shared" si="35"/>
        <v>0</v>
      </c>
      <c r="AG140">
        <f>IF(AC140&lt;0,AD140,G140*E140*10000*VLOOKUP(A140,[1]kcal!$A$2:$C$49,3,FALSE)/1000000000000*IFERROR(VLOOKUP(A140,'Kategorisering af kcal'!$A$2:$E$18,MATCH('Produktion &amp; forbrug'!F140,'Kategorisering af kcal'!$A$1:$E$1,0),FALSE),0))</f>
        <v>0</v>
      </c>
    </row>
    <row r="141" spans="1:33" x14ac:dyDescent="0.25">
      <c r="A141" s="171" t="str">
        <f t="shared" si="28"/>
        <v>Spildevandsslam</v>
      </c>
      <c r="B141" s="171" t="str">
        <f t="shared" si="29"/>
        <v>Bionedbrydeligt affald</v>
      </c>
      <c r="C141" s="171" t="str">
        <f>IFERROR(VLOOKUP(A141,'Kategorisering af kcal'!$A$2:$B$18,2,FALSE),"")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30"/>
        <v>0</v>
      </c>
      <c r="F141" s="171">
        <f t="shared" si="25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7494121.763909651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2842137.0165491202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6"/>
        <v>4651984.7473605312</v>
      </c>
      <c r="P141" s="94">
        <f t="shared" si="33"/>
        <v>4651984.7473605312</v>
      </c>
      <c r="Q141" s="180">
        <f t="shared" si="37"/>
        <v>2842137.0165491202</v>
      </c>
      <c r="R141">
        <f>IFERROR(VLOOKUP(A141,[1]Energiindhold!$A$2:$C$11,3,FALSE),IFERROR(VLOOKUP(A141,[1]Biogasudbytte!$A$2:$B$18,2,FALSE)*[1]Energiindhold!$C$10,0))*P141</f>
        <v>2.3213869087803789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3.7396417014085559</v>
      </c>
      <c r="T141">
        <f>IFERROR(VLOOKUP(A141,[1]Biogasudbytte!$A$2:$B$18,2,FALSE)*[1]Energiindhold!$C$10,0)*K141*IFERROR(VLOOKUP(A141,Biogasanlæg!$F$3:$G$8,2,FALSE),1)</f>
        <v>1.4182547926281768</v>
      </c>
      <c r="U141" s="170">
        <f t="shared" si="38"/>
        <v>2.3213869087803793</v>
      </c>
      <c r="V141" s="169">
        <f>P141*IFERROR(VLOOKUP(A141,[1]Tørstofindhold!A$2:B$24,2,FALSE),0)</f>
        <v>279119.08484163188</v>
      </c>
      <c r="W141">
        <f>IF(F141=År1,Q141,SUM(P141,Q141))*IFERROR(VLOOKUP(A141,[1]Tørstofindhold!A$2:B$24,2,FALSE),0)</f>
        <v>449647.30583457905</v>
      </c>
      <c r="X141">
        <f>K141*IFERROR(VLOOKUP(A141,[1]Tørstofindhold!A$2:B$24,2,FALSE),0)</f>
        <v>170528.2209929472</v>
      </c>
      <c r="Y141" s="170">
        <f t="shared" si="39"/>
        <v>279119.08484163182</v>
      </c>
      <c r="Z141">
        <f t="shared" si="31"/>
        <v>0</v>
      </c>
      <c r="AA141">
        <f t="shared" si="32"/>
        <v>1</v>
      </c>
      <c r="AC141" s="94">
        <f t="shared" si="34"/>
        <v>4651984.7473605312</v>
      </c>
      <c r="AD141">
        <f>AC141*E141*10000*VLOOKUP(A141,[1]kcal!$A$2:$C$49,3,FALSE)/1000000000000*IFERROR(VLOOKUP(A141,'Kategorisering af kcal'!$A$2:$E$18,MATCH('Produktion &amp; forbrug'!F141,'Kategorisering af kcal'!$A$1:$E$1,0),FALSE),0)</f>
        <v>0</v>
      </c>
      <c r="AE141">
        <f>IF(C141&lt;&gt;"",AC141*(1-IF(A141&lt;&gt;"Græs",VLOOKUP(A141,'Kategorisering af kcal'!$A$2:$E$18,MATCH('Produktion &amp; forbrug'!F141,'Kategorisering af kcal'!$A$1:$E$1,0),FALSE),HLOOKUP(F141,Græsprotein!$C$2:$E$8,7))),'Produktion &amp; forbrug'!AC141)</f>
        <v>4651984.7473605312</v>
      </c>
      <c r="AF141" s="94">
        <f t="shared" si="35"/>
        <v>0</v>
      </c>
      <c r="AG141">
        <f>IF(AC141&lt;0,AD141,G141*E141*10000*VLOOKUP(A141,[1]kcal!$A$2:$C$49,3,FALSE)/1000000000000*IFERROR(VLOOKUP(A141,'Kategorisering af kcal'!$A$2:$E$18,MATCH('Produktion &amp; forbrug'!F141,'Kategorisering af kcal'!$A$1:$E$1,0),FALSE),0))</f>
        <v>0</v>
      </c>
    </row>
    <row r="142" spans="1:33" x14ac:dyDescent="0.25">
      <c r="A142" s="171" t="str">
        <f t="shared" si="28"/>
        <v>Svinegylle</v>
      </c>
      <c r="B142" s="171" t="str">
        <f t="shared" si="29"/>
        <v>Husdyrgødning</v>
      </c>
      <c r="C142" s="171" t="str">
        <f>IFERROR(VLOOKUP(A142,'Kategorisering af kcal'!$A$2:$B$18,2,FALSE),"")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30"/>
        <v>0</v>
      </c>
      <c r="F142" s="171">
        <f t="shared" si="25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6"/>
        <v>0</v>
      </c>
      <c r="P142" s="94">
        <f t="shared" si="33"/>
        <v>0</v>
      </c>
      <c r="Q142" s="180">
        <f t="shared" si="3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8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9"/>
        <v>0</v>
      </c>
      <c r="Z142">
        <f t="shared" si="31"/>
        <v>0</v>
      </c>
      <c r="AA142">
        <f t="shared" si="32"/>
        <v>0</v>
      </c>
      <c r="AC142" s="94">
        <f t="shared" si="34"/>
        <v>0</v>
      </c>
      <c r="AD142">
        <f>AC142*E142*10000*VLOOKUP(A142,[1]kcal!$A$2:$C$49,3,FALSE)/1000000000000*IFERROR(VLOOKUP(A142,'Kategorisering af kcal'!$A$2:$E$18,MATCH('Produktion &amp; forbrug'!F142,'Kategorisering af kcal'!$A$1:$E$1,0),FALSE),0)</f>
        <v>0</v>
      </c>
      <c r="AE142">
        <f>IF(C142&lt;&gt;"",AC142*(1-IF(A142&lt;&gt;"Græs",VLOOKUP(A142,'Kategorisering af kcal'!$A$2:$E$18,MATCH('Produktion &amp; forbrug'!F142,'Kategorisering af kcal'!$A$1:$E$1,0),FALSE),HLOOKUP(F142,Græsprotein!$C$2:$E$8,7))),'Produktion &amp; forbrug'!AC142)</f>
        <v>0</v>
      </c>
      <c r="AF142" s="94">
        <f t="shared" si="35"/>
        <v>0</v>
      </c>
      <c r="AG142">
        <f>IF(AC142&lt;0,AD142,G142*E142*10000*VLOOKUP(A142,[1]kcal!$A$2:$C$49,3,FALSE)/1000000000000*IFERROR(VLOOKUP(A142,'Kategorisering af kcal'!$A$2:$E$18,MATCH('Produktion &amp; forbrug'!F142,'Kategorisering af kcal'!$A$1:$E$1,0),FALSE),0))</f>
        <v>0</v>
      </c>
    </row>
    <row r="143" spans="1:33" x14ac:dyDescent="0.25">
      <c r="A143" s="171" t="str">
        <f t="shared" si="28"/>
        <v>Svinekød</v>
      </c>
      <c r="B143" s="171" t="str">
        <f t="shared" si="29"/>
        <v/>
      </c>
      <c r="C143" s="171" t="str">
        <f>IFERROR(VLOOKUP(A143,'Kategorisering af kcal'!$A$2:$B$18,2,FALSE),"")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30"/>
        <v>1</v>
      </c>
      <c r="F143" s="171">
        <f t="shared" si="25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56067.802327067431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0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6"/>
        <v>56067.802327067431</v>
      </c>
      <c r="P143" s="94">
        <f t="shared" si="33"/>
        <v>0</v>
      </c>
      <c r="Q143" s="180">
        <f t="shared" si="3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8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9"/>
        <v>0</v>
      </c>
      <c r="Z143">
        <f t="shared" si="31"/>
        <v>0</v>
      </c>
      <c r="AA143">
        <f t="shared" si="32"/>
        <v>1</v>
      </c>
      <c r="AC143" s="94">
        <f t="shared" si="34"/>
        <v>56067.802327067431</v>
      </c>
      <c r="AD143">
        <f>AC143*E143*10000*VLOOKUP(A143,[1]kcal!$A$2:$C$49,3,FALSE)/1000000000000*IFERROR(VLOOKUP(A143,'Kategorisering af kcal'!$A$2:$E$18,MATCH('Produktion &amp; forbrug'!F143,'Kategorisering af kcal'!$A$1:$E$1,0),FALSE),0)</f>
        <v>0.1093322145377815</v>
      </c>
      <c r="AE143">
        <f>IF(C143&lt;&gt;"",AC143*(1-IF(A143&lt;&gt;"Græs",VLOOKUP(A143,'Kategorisering af kcal'!$A$2:$E$18,MATCH('Produktion &amp; forbrug'!F143,'Kategorisering af kcal'!$A$1:$E$1,0),FALSE),HLOOKUP(F143,Græsprotein!$C$2:$E$8,7))),'Produktion &amp; forbrug'!AC143)</f>
        <v>0</v>
      </c>
      <c r="AF143" s="94">
        <f t="shared" si="35"/>
        <v>56067.802327067431</v>
      </c>
      <c r="AG143">
        <f>IF(AC143&lt;0,AD143,G143*E143*10000*VLOOKUP(A143,[1]kcal!$A$2:$C$49,3,FALSE)/1000000000000*IFERROR(VLOOKUP(A143,'Kategorisering af kcal'!$A$2:$E$18,MATCH('Produktion &amp; forbrug'!F143,'Kategorisering af kcal'!$A$1:$E$1,0),FALSE),0))</f>
        <v>0.1093322145377815</v>
      </c>
    </row>
    <row r="144" spans="1:33" x14ac:dyDescent="0.25">
      <c r="A144" s="171" t="str">
        <f t="shared" si="28"/>
        <v>Tang</v>
      </c>
      <c r="B144" s="171" t="str">
        <f t="shared" si="29"/>
        <v>Havbiomasse</v>
      </c>
      <c r="C144" s="171" t="str">
        <f>IFERROR(VLOOKUP(A144,'Kategorisering af kcal'!$A$2:$B$18,2,FALSE),"")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30"/>
        <v>1</v>
      </c>
      <c r="F144" s="171">
        <f t="shared" si="25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76.5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6"/>
        <v>76.5</v>
      </c>
      <c r="P144" s="94">
        <f t="shared" si="33"/>
        <v>76.5</v>
      </c>
      <c r="Q144" s="180">
        <f t="shared" si="37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38"/>
        <v>6.8658750000000004E-5</v>
      </c>
      <c r="V144" s="169">
        <f>P144*IFERROR(VLOOKUP(A144,[1]Tørstofindhold!A$2:B$24,2,FALSE),0)</f>
        <v>11.475</v>
      </c>
      <c r="W144">
        <f>IF(F144=År1,Q144,SUM(P144,Q144))*IFERROR(VLOOKUP(A144,[1]Tørstofindhold!A$2:B$24,2,FALSE),0)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39"/>
        <v>11.475</v>
      </c>
      <c r="Z144">
        <f t="shared" si="31"/>
        <v>0</v>
      </c>
      <c r="AA144">
        <f t="shared" si="32"/>
        <v>1</v>
      </c>
      <c r="AC144" s="94">
        <f t="shared" si="34"/>
        <v>76.5</v>
      </c>
      <c r="AD144">
        <f>AC144*E144*10000*VLOOKUP(A144,[1]kcal!$A$2:$C$49,3,FALSE)/1000000000000*IFERROR(VLOOKUP(A144,'Kategorisering af kcal'!$A$2:$E$18,MATCH('Produktion &amp; forbrug'!F144,'Kategorisering af kcal'!$A$1:$E$1,0),FALSE),0)</f>
        <v>3.1211999999999999E-5</v>
      </c>
      <c r="AE144">
        <f>IF(C144&lt;&gt;"",AC144*(1-IF(A144&lt;&gt;"Græs",VLOOKUP(A144,'Kategorisering af kcal'!$A$2:$E$18,MATCH('Produktion &amp; forbrug'!F144,'Kategorisering af kcal'!$A$1:$E$1,0),FALSE),HLOOKUP(F144,Græsprotein!$C$2:$E$8,7))),'Produktion &amp; forbrug'!AC144)</f>
        <v>0</v>
      </c>
      <c r="AF144" s="94">
        <f t="shared" si="35"/>
        <v>76.5</v>
      </c>
      <c r="AG144">
        <f>IF(AC144&lt;0,AD144,G144*E144*10000*VLOOKUP(A144,[1]kcal!$A$2:$C$49,3,FALSE)/1000000000000*IFERROR(VLOOKUP(A144,'Kategorisering af kcal'!$A$2:$E$18,MATCH('Produktion &amp; forbrug'!F144,'Kategorisering af kcal'!$A$1:$E$1,0),FALSE),0))</f>
        <v>3.1211999999999999E-5</v>
      </c>
    </row>
    <row r="145" spans="1:33" x14ac:dyDescent="0.25">
      <c r="A145" s="171" t="str">
        <f t="shared" si="28"/>
        <v>Total til biogas</v>
      </c>
      <c r="B145" s="171" t="str">
        <f t="shared" si="29"/>
        <v/>
      </c>
      <c r="C145" s="171" t="str">
        <f>IFERROR(VLOOKUP(A145,'Kategorisering af kcal'!$A$2:$B$18,2,FALSE),"")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30"/>
        <v>0</v>
      </c>
      <c r="F145" s="171">
        <f t="shared" si="25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6"/>
        <v>0</v>
      </c>
      <c r="P145" s="94">
        <f t="shared" si="33"/>
        <v>0</v>
      </c>
      <c r="Q145" s="180">
        <f t="shared" si="3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8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9"/>
        <v>0</v>
      </c>
      <c r="Z145">
        <f t="shared" si="31"/>
        <v>0</v>
      </c>
      <c r="AA145">
        <f t="shared" si="32"/>
        <v>0</v>
      </c>
      <c r="AC145" s="94">
        <f t="shared" si="34"/>
        <v>0</v>
      </c>
      <c r="AD145">
        <f>AC145*E145*10000*VLOOKUP(A145,[1]kcal!$A$2:$C$49,3,FALSE)/1000000000000*IFERROR(VLOOKUP(A145,'Kategorisering af kcal'!$A$2:$E$18,MATCH('Produktion &amp; forbrug'!F145,'Kategorisering af kcal'!$A$1:$E$1,0),FALSE),0)</f>
        <v>0</v>
      </c>
      <c r="AE145">
        <f>IF(C145&lt;&gt;"",AC145*(1-IF(A145&lt;&gt;"Græs",VLOOKUP(A145,'Kategorisering af kcal'!$A$2:$E$18,MATCH('Produktion &amp; forbrug'!F145,'Kategorisering af kcal'!$A$1:$E$1,0),FALSE),HLOOKUP(F145,Græsprotein!$C$2:$E$8,7))),'Produktion &amp; forbrug'!AC145)</f>
        <v>0</v>
      </c>
      <c r="AF145" s="94">
        <f t="shared" si="35"/>
        <v>0</v>
      </c>
      <c r="AG145">
        <f>IF(AC145&lt;0,AD145,G145*E145*10000*VLOOKUP(A145,[1]kcal!$A$2:$C$49,3,FALSE)/1000000000000*IFERROR(VLOOKUP(A145,'Kategorisering af kcal'!$A$2:$E$18,MATCH('Produktion &amp; forbrug'!F145,'Kategorisering af kcal'!$A$1:$E$1,0),FALSE),0))</f>
        <v>0</v>
      </c>
    </row>
    <row r="146" spans="1:33" x14ac:dyDescent="0.25">
      <c r="A146" s="171" t="str">
        <f t="shared" si="28"/>
        <v>Træ til energi</v>
      </c>
      <c r="B146" s="171" t="str">
        <f t="shared" si="29"/>
        <v>Vedmasse</v>
      </c>
      <c r="C146" s="171" t="str">
        <f>IFERROR(VLOOKUP(A146,'Kategorisering af kcal'!$A$2:$B$18,2,FALSE),"")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30"/>
        <v>0</v>
      </c>
      <c r="F146" s="171">
        <f t="shared" si="25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2761065.1089266455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2761065.1089266455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6"/>
        <v>0</v>
      </c>
      <c r="P146" s="94">
        <f t="shared" ca="1" si="33"/>
        <v>0</v>
      </c>
      <c r="Q146" s="180">
        <f t="shared" ca="1" si="37"/>
        <v>2761065.1089266455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40.017687395755047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8"/>
        <v>40.017687395755047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1365576.7851233033</v>
      </c>
      <c r="X146">
        <f>K146*IFERROR(VLOOKUP(A146,[1]Tørstofindhold!A$2:B$24,2,FALSE),0)</f>
        <v>0</v>
      </c>
      <c r="Y146" s="170">
        <f t="shared" ca="1" si="39"/>
        <v>1365576.7851233033</v>
      </c>
      <c r="Z146">
        <f t="shared" ca="1" si="31"/>
        <v>0</v>
      </c>
      <c r="AA146">
        <f t="shared" ca="1" si="32"/>
        <v>0</v>
      </c>
      <c r="AC146" s="94">
        <f t="shared" ca="1" si="34"/>
        <v>2761065.1089266455</v>
      </c>
      <c r="AD146">
        <f ca="1">AC146*E146*10000*VLOOKUP(A146,[1]kcal!$A$2:$C$49,3,FALSE)/1000000000000*IFERROR(VLOOKUP(A146,'Kategorisering af kcal'!$A$2:$E$18,MATCH('Produktion &amp; forbrug'!F146,'Kategorisering af kcal'!$A$1:$E$1,0),FALSE),0)</f>
        <v>0</v>
      </c>
      <c r="AE146">
        <f ca="1">IF(C146&lt;&gt;"",AC146*(1-IF(A146&lt;&gt;"Græs",VLOOKUP(A146,'Kategorisering af kcal'!$A$2:$E$18,MATCH('Produktion &amp; forbrug'!F146,'Kategorisering af kcal'!$A$1:$E$1,0),FALSE),HLOOKUP(F146,Græsprotein!$C$2:$E$8,7))),'Produktion &amp; forbrug'!AC146)</f>
        <v>2761065.1089266455</v>
      </c>
      <c r="AF146" s="94">
        <f t="shared" ca="1" si="35"/>
        <v>0</v>
      </c>
      <c r="AG146">
        <f ca="1">IF(AC146&lt;0,AD146,G146*E146*10000*VLOOKUP(A146,[1]kcal!$A$2:$C$49,3,FALSE)/1000000000000*IFERROR(VLOOKUP(A146,'Kategorisering af kcal'!$A$2:$E$18,MATCH('Produktion &amp; forbrug'!F146,'Kategorisering af kcal'!$A$1:$E$1,0),FALSE),0))</f>
        <v>0</v>
      </c>
    </row>
    <row r="147" spans="1:33" x14ac:dyDescent="0.25">
      <c r="A147" s="171" t="str">
        <f t="shared" si="28"/>
        <v>Træmaterialer</v>
      </c>
      <c r="B147" s="171" t="str">
        <f t="shared" si="29"/>
        <v/>
      </c>
      <c r="C147" s="171" t="str">
        <f>IFERROR(VLOOKUP(A147,'Kategorisering af kcal'!$A$2:$B$18,2,FALSE),"")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30"/>
        <v>0</v>
      </c>
      <c r="F147" s="171">
        <f t="shared" si="25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814379.14075048931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814379.14075048931</v>
      </c>
      <c r="O147" s="179">
        <f t="shared" ca="1" si="36"/>
        <v>0</v>
      </c>
      <c r="P147" s="94">
        <f t="shared" si="33"/>
        <v>0</v>
      </c>
      <c r="Q147" s="180">
        <f t="shared" si="3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8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9"/>
        <v>0</v>
      </c>
      <c r="Z147">
        <f t="shared" ca="1" si="31"/>
        <v>0</v>
      </c>
      <c r="AA147">
        <f t="shared" ca="1" si="32"/>
        <v>0</v>
      </c>
      <c r="AC147" s="94">
        <f t="shared" ca="1" si="34"/>
        <v>0</v>
      </c>
      <c r="AD147">
        <f ca="1">AC147*E147*10000*VLOOKUP(A147,[1]kcal!$A$2:$C$49,3,FALSE)/1000000000000*IFERROR(VLOOKUP(A147,'Kategorisering af kcal'!$A$2:$E$18,MATCH('Produktion &amp; forbrug'!F147,'Kategorisering af kcal'!$A$1:$E$1,0),FALSE),0)</f>
        <v>0</v>
      </c>
      <c r="AE147">
        <f ca="1">IF(C147&lt;&gt;"",AC147*(1-IF(A147&lt;&gt;"Græs",VLOOKUP(A147,'Kategorisering af kcal'!$A$2:$E$18,MATCH('Produktion &amp; forbrug'!F147,'Kategorisering af kcal'!$A$1:$E$1,0),FALSE),HLOOKUP(F147,Græsprotein!$C$2:$E$8,7))),'Produktion &amp; forbrug'!AC147)</f>
        <v>0</v>
      </c>
      <c r="AF147" s="94">
        <f t="shared" ca="1" si="35"/>
        <v>0</v>
      </c>
      <c r="AG147">
        <f ca="1">IF(AC147&lt;0,AD147,G147*E147*10000*VLOOKUP(A147,[1]kcal!$A$2:$C$49,3,FALSE)/1000000000000*IFERROR(VLOOKUP(A147,'Kategorisering af kcal'!$A$2:$E$18,MATCH('Produktion &amp; forbrug'!F147,'Kategorisering af kcal'!$A$1:$E$1,0),FALSE),0))</f>
        <v>0</v>
      </c>
    </row>
  </sheetData>
  <autoFilter ref="A3:AG147" xr:uid="{9CE9FCE3-890A-4384-B45F-B3CAB4E5864E}"/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L66"/>
  <sheetViews>
    <sheetView tabSelected="1" topLeftCell="A10" workbookViewId="0">
      <selection activeCell="H35" sqref="H35"/>
    </sheetView>
  </sheetViews>
  <sheetFormatPr defaultRowHeight="15" x14ac:dyDescent="0.25"/>
  <cols>
    <col min="2" max="2" width="47" bestFit="1" customWidth="1"/>
    <col min="3" max="3" width="13.85546875" customWidth="1"/>
    <col min="4" max="4" width="12.7109375" customWidth="1"/>
    <col min="5" max="5" width="12.140625" bestFit="1" customWidth="1"/>
    <col min="6" max="6" width="9.5703125" bestFit="1" customWidth="1"/>
    <col min="7" max="7" width="12.7109375" bestFit="1" customWidth="1"/>
    <col min="8" max="8" width="11.140625" bestFit="1" customWidth="1"/>
    <col min="11" max="12" width="10.5703125" bestFit="1" customWidth="1"/>
  </cols>
  <sheetData>
    <row r="1" spans="2:4" x14ac:dyDescent="0.25">
      <c r="B1" s="445" t="s">
        <v>383</v>
      </c>
      <c r="C1" s="445"/>
      <c r="D1" s="445"/>
    </row>
    <row r="2" spans="2:4" x14ac:dyDescent="0.25">
      <c r="C2" s="450" t="s">
        <v>349</v>
      </c>
      <c r="D2" s="450"/>
    </row>
    <row r="3" spans="2:4" ht="15.75" thickBot="1" x14ac:dyDescent="0.3">
      <c r="C3">
        <f>År1</f>
        <v>2019</v>
      </c>
      <c r="D3">
        <f>År3</f>
        <v>2050</v>
      </c>
    </row>
    <row r="4" spans="2:4" x14ac:dyDescent="0.25">
      <c r="B4" t="s">
        <v>229</v>
      </c>
      <c r="C4" s="405">
        <f ca="1">SUMIFS('Produktion &amp; forbrug'!$AC$4:$AC$147,'Produktion &amp; forbrug'!$F$4:$F$147,C$3,'Produktion &amp; forbrug'!$B$4:$B$147,$B4)</f>
        <v>4698263.1968560591</v>
      </c>
      <c r="D4" s="409">
        <f ca="1">SUMIFS('Produktion &amp; forbrug'!$AC$4:$AC$147,'Produktion &amp; forbrug'!$F$4:$F$147,D$3,'Produktion &amp; forbrug'!$B$4:$B$147,$B4)</f>
        <v>7108480.1569624562</v>
      </c>
    </row>
    <row r="5" spans="2:4" x14ac:dyDescent="0.25">
      <c r="B5" t="s">
        <v>221</v>
      </c>
      <c r="C5" s="179">
        <f>SUMIFS('Produktion &amp; forbrug'!$AC$4:$AC$147,'Produktion &amp; forbrug'!$F$4:$F$147,C$3,'Produktion &amp; forbrug'!$B$4:$B$147,$B5)</f>
        <v>1352218.0071428572</v>
      </c>
      <c r="D5" s="180">
        <f>SUMIFS('Produktion &amp; forbrug'!$AC$4:$AC$147,'Produktion &amp; forbrug'!$F$4:$F$147,D$3,'Produktion &amp; forbrug'!$B$4:$B$147,$B5)</f>
        <v>40868.939648840227</v>
      </c>
    </row>
    <row r="6" spans="2:4" x14ac:dyDescent="0.25">
      <c r="B6" t="s">
        <v>203</v>
      </c>
      <c r="C6" s="179">
        <f>SUMIFS('Produktion &amp; forbrug'!$AC$4:$AC$147,'Produktion &amp; forbrug'!$F$4:$F$147,C$3,'Produktion &amp; forbrug'!$B$4:$B$147,$B6)</f>
        <v>0</v>
      </c>
      <c r="D6" s="180">
        <f>SUMIFS('Produktion &amp; forbrug'!$AC$4:$AC$147,'Produktion &amp; forbrug'!$F$4:$F$147,D$3,'Produktion &amp; forbrug'!$B$4:$B$147,$B6)</f>
        <v>4272142.4689821573</v>
      </c>
    </row>
    <row r="7" spans="2:4" x14ac:dyDescent="0.25">
      <c r="B7" t="s">
        <v>223</v>
      </c>
      <c r="C7" s="179">
        <f>SUMIFS('Produktion &amp; forbrug'!$AC$4:$AC$147,'Produktion &amp; forbrug'!$F$4:$F$147,C$3,'Produktion &amp; forbrug'!$B$4:$B$147,$B7)</f>
        <v>6999835.1830202974</v>
      </c>
      <c r="D7" s="180">
        <f>SUMIFS('Produktion &amp; forbrug'!$AC$4:$AC$147,'Produktion &amp; forbrug'!$F$4:$F$147,D$3,'Produktion &amp; forbrug'!$B$4:$B$147,$B7)</f>
        <v>33721557.083569095</v>
      </c>
    </row>
    <row r="8" spans="2:4" x14ac:dyDescent="0.25">
      <c r="B8" t="s">
        <v>226</v>
      </c>
      <c r="C8" s="179">
        <f>SUMIFS('Produktion &amp; forbrug'!$AC$4:$AC$147,'Produktion &amp; forbrug'!$F$4:$F$147,C$3,'Produktion &amp; forbrug'!$B$4:$B$147,$B8)</f>
        <v>4402957.5587320747</v>
      </c>
      <c r="D8" s="180">
        <f>SUMIFS('Produktion &amp; forbrug'!$AC$4:$AC$147,'Produktion &amp; forbrug'!$F$4:$F$147,D$3,'Produktion &amp; forbrug'!$B$4:$B$147,$B8)</f>
        <v>1299755.7879680279</v>
      </c>
    </row>
    <row r="9" spans="2:4" x14ac:dyDescent="0.25">
      <c r="B9" t="s">
        <v>225</v>
      </c>
      <c r="C9" s="179">
        <f>SUMIFS('Produktion &amp; forbrug'!$AC$4:$AC$147,'Produktion &amp; forbrug'!$F$4:$F$147,C$3,'Produktion &amp; forbrug'!$B$4:$B$147,$B9)</f>
        <v>956.59999999999991</v>
      </c>
      <c r="D9" s="180">
        <f>SUMIFS('Produktion &amp; forbrug'!$AC$4:$AC$147,'Produktion &amp; forbrug'!$F$4:$F$147,D$3,'Produktion &amp; forbrug'!$B$4:$B$147,$B9)</f>
        <v>956.59999999999991</v>
      </c>
    </row>
    <row r="10" spans="2:4" x14ac:dyDescent="0.25">
      <c r="B10" t="s">
        <v>224</v>
      </c>
      <c r="C10" s="179">
        <f ca="1">SUMIFS('Produktion &amp; forbrug'!$AC$4:$AC$147,'Produktion &amp; forbrug'!$F$4:$F$147,C$3,'Produktion &amp; forbrug'!$B$4:$B$147,$B10)</f>
        <v>3220159.2034965986</v>
      </c>
      <c r="D10" s="180">
        <f ca="1">SUMIFS('Produktion &amp; forbrug'!$AC$4:$AC$147,'Produktion &amp; forbrug'!$F$4:$F$147,D$3,'Produktion &amp; forbrug'!$B$4:$B$147,$B10)</f>
        <v>4514694.8749305187</v>
      </c>
    </row>
    <row r="11" spans="2:4" ht="15.75" thickBot="1" x14ac:dyDescent="0.3">
      <c r="B11" t="s">
        <v>230</v>
      </c>
      <c r="C11" s="181">
        <f>SUMIFS('Produktion &amp; forbrug'!$AC$4:$AC$147,'Produktion &amp; forbrug'!$F$4:$F$147,C$3,'Produktion &amp; forbrug'!$B$4:$B$147,$B11)</f>
        <v>112873.31802427147</v>
      </c>
      <c r="D11" s="183">
        <f>SUMIFS('Produktion &amp; forbrug'!$AC$4:$AC$147,'Produktion &amp; forbrug'!$F$4:$F$147,D$3,'Produktion &amp; forbrug'!$B$4:$B$147,$B11)</f>
        <v>276887.98874079209</v>
      </c>
    </row>
    <row r="12" spans="2:4" x14ac:dyDescent="0.25">
      <c r="C12" s="94">
        <f ca="1">SUM(C4:C11)</f>
        <v>20787263.067272156</v>
      </c>
      <c r="D12" s="94">
        <f ca="1">SUM(D4:D11)</f>
        <v>51235343.900801882</v>
      </c>
    </row>
    <row r="13" spans="2:4" ht="15.75" thickBot="1" x14ac:dyDescent="0.3">
      <c r="C13" s="94"/>
      <c r="D13" s="94"/>
    </row>
    <row r="14" spans="2:4" x14ac:dyDescent="0.25">
      <c r="B14" s="483" t="s">
        <v>408</v>
      </c>
      <c r="C14" s="488" t="s">
        <v>412</v>
      </c>
      <c r="D14" s="409"/>
    </row>
    <row r="15" spans="2:4" x14ac:dyDescent="0.25">
      <c r="B15" s="484" t="s">
        <v>411</v>
      </c>
      <c r="C15" s="486">
        <v>2.2400000000000002</v>
      </c>
      <c r="D15" s="180" t="s">
        <v>409</v>
      </c>
    </row>
    <row r="16" spans="2:4" ht="15.75" thickBot="1" x14ac:dyDescent="0.3">
      <c r="B16" s="485" t="s">
        <v>410</v>
      </c>
      <c r="C16" s="487">
        <f>787/(787+186)</f>
        <v>0.80883864337101752</v>
      </c>
      <c r="D16" s="183"/>
    </row>
    <row r="17" spans="2:12" x14ac:dyDescent="0.25">
      <c r="C17" s="94"/>
      <c r="D17" s="94"/>
    </row>
    <row r="19" spans="2:12" x14ac:dyDescent="0.25">
      <c r="B19" s="445" t="s">
        <v>384</v>
      </c>
      <c r="C19" s="445"/>
      <c r="D19" s="445"/>
      <c r="E19" s="445"/>
      <c r="F19" s="445"/>
    </row>
    <row r="20" spans="2:12" x14ac:dyDescent="0.25">
      <c r="C20" s="450" t="s">
        <v>349</v>
      </c>
      <c r="D20" s="450"/>
      <c r="E20" s="450" t="s">
        <v>350</v>
      </c>
      <c r="F20" s="450"/>
      <c r="G20" s="450" t="s">
        <v>413</v>
      </c>
      <c r="H20" s="450"/>
      <c r="I20" s="450" t="s">
        <v>404</v>
      </c>
      <c r="J20" s="450"/>
      <c r="K20" s="450" t="s">
        <v>405</v>
      </c>
      <c r="L20" s="450"/>
    </row>
    <row r="21" spans="2:12" ht="15.75" thickBot="1" x14ac:dyDescent="0.3">
      <c r="C21">
        <f>År1</f>
        <v>2019</v>
      </c>
      <c r="D21">
        <f>År3</f>
        <v>2050</v>
      </c>
      <c r="E21">
        <f>År1</f>
        <v>2019</v>
      </c>
      <c r="F21">
        <f>År3</f>
        <v>2050</v>
      </c>
      <c r="G21">
        <f>År1</f>
        <v>2019</v>
      </c>
      <c r="H21">
        <f>År3</f>
        <v>2050</v>
      </c>
      <c r="I21">
        <v>2019</v>
      </c>
      <c r="J21">
        <v>2050</v>
      </c>
      <c r="K21">
        <v>2019</v>
      </c>
      <c r="L21">
        <v>2050</v>
      </c>
    </row>
    <row r="22" spans="2:12" x14ac:dyDescent="0.25">
      <c r="B22" s="91" t="s">
        <v>15</v>
      </c>
      <c r="C22" s="405">
        <f>SUMIFS('Produktion &amp; forbrug'!$AF$4:$AF$147,'Produktion &amp; forbrug'!$F$4:$F$147,C$3,'Produktion &amp; forbrug'!$C$4:$C$147,$B22)</f>
        <v>235000</v>
      </c>
      <c r="D22" s="409">
        <f>SUMIFS('Produktion &amp; forbrug'!$AF$4:$AF$147,'Produktion &amp; forbrug'!$F$4:$F$147,D$3,'Produktion &amp; forbrug'!$C$4:$C$147,$B22)</f>
        <v>42217.628788690155</v>
      </c>
      <c r="E22" s="417">
        <f>SUMIFS('Produktion &amp; forbrug'!$AD$4:$AD$147,'Produktion &amp; forbrug'!$F$4:$F$147,E$21,'Produktion &amp; forbrug'!$C$4:$C$147,$B22)</f>
        <v>0.32429999999999998</v>
      </c>
      <c r="F22" s="406">
        <f>SUMIFS('Produktion &amp; forbrug'!$AD$4:$AD$147,'Produktion &amp; forbrug'!$F$4:$F$147,F$21,'Produktion &amp; forbrug'!$C$4:$C$147,$B22)</f>
        <v>5.8260327728392416E-2</v>
      </c>
      <c r="G22" s="417" t="s">
        <v>181</v>
      </c>
      <c r="H22" s="406" t="s">
        <v>181</v>
      </c>
      <c r="I22" s="471">
        <f>SUMIFS('Produktion &amp; forbrug'!$AG$4:$AG$147,'Produktion &amp; forbrug'!$F$4:$F$147,C$3,'Produktion &amp; forbrug'!$C$4:$C$147,$B22)</f>
        <v>0.32429999999999998</v>
      </c>
      <c r="J22" s="472">
        <f>SUMIFS('Produktion &amp; forbrug'!$AG$4:$AG$147,'Produktion &amp; forbrug'!$F$4:$F$147,D$3,'Produktion &amp; forbrug'!$C$4:$C$147,$B22)</f>
        <v>5.8260327728392416E-2</v>
      </c>
      <c r="K22" s="470" t="str">
        <f>IF(G22&lt;&gt;"-",I22*1000000000000/G22/1000000,"-")</f>
        <v>-</v>
      </c>
      <c r="L22" s="481" t="str">
        <f>IF(H22&lt;&gt;"-",J22*1000000000000/H22/1000000,"-")</f>
        <v>-</v>
      </c>
    </row>
    <row r="23" spans="2:12" x14ac:dyDescent="0.25">
      <c r="B23" s="91" t="s">
        <v>49</v>
      </c>
      <c r="C23" s="179">
        <f>SUMIFS('Produktion &amp; forbrug'!$AF$4:$AF$147,'Produktion &amp; forbrug'!$F$4:$F$147,C$3,'Produktion &amp; forbrug'!$C$4:$C$147,$B23)</f>
        <v>212954.76453418657</v>
      </c>
      <c r="D23" s="180">
        <f>SUMIFS('Produktion &amp; forbrug'!$AF$4:$AF$147,'Produktion &amp; forbrug'!$F$4:$F$147,D$3,'Produktion &amp; forbrug'!$C$4:$C$147,$B23)</f>
        <v>885448.63284387637</v>
      </c>
      <c r="E23" s="418">
        <f>SUMIFS('Produktion &amp; forbrug'!$AD$4:$AD$147,'Produktion &amp; forbrug'!$F$4:$F$147,E$21,'Produktion &amp; forbrug'!$C$4:$C$147,$B23)</f>
        <v>1.4789708396899257</v>
      </c>
      <c r="F23" s="407">
        <f>SUMIFS('Produktion &amp; forbrug'!$AD$4:$AD$147,'Produktion &amp; forbrug'!$F$4:$F$147,F$21,'Produktion &amp; forbrug'!$C$4:$C$147,$B23)</f>
        <v>6.1494407551007217</v>
      </c>
      <c r="G23" s="179">
        <f>SUMIFS('Direkte input'!G:G,'Direkte input'!$F:$F,"Areal-bælgsæd")</f>
        <v>76936.491003913659</v>
      </c>
      <c r="H23" s="180">
        <f>SUMIFS('Direkte input'!I:I,'Direkte input'!$F:$F,"Areal-bælgsæd")</f>
        <v>331489.12</v>
      </c>
      <c r="I23" s="473">
        <f>SUMIFS('Produktion &amp; forbrug'!$AG$4:$AG$147,'Produktion &amp; forbrug'!$F$4:$F$147,C$3,'Produktion &amp; forbrug'!$C$4:$C$147,$B23)</f>
        <v>1.9818936552198592</v>
      </c>
      <c r="J23" s="474">
        <f>SUMIFS('Produktion &amp; forbrug'!$AG$4:$AG$147,'Produktion &amp; forbrug'!$F$4:$F$147,D$3,'Produktion &amp; forbrug'!$C$4:$C$147,$B23)</f>
        <v>6.1919985378424318</v>
      </c>
      <c r="K23" s="477">
        <f t="shared" ref="K23:K34" si="0">IF(G23&lt;&gt;"-",I23*1000000000000/G23/1000000,"-")</f>
        <v>25.760125388601914</v>
      </c>
      <c r="L23" s="478">
        <f t="shared" ref="L23:L34" si="1">IF(H23&lt;&gt;"-",J23*1000000000000/H23/1000000,"-")</f>
        <v>18.679341686515777</v>
      </c>
    </row>
    <row r="24" spans="2:12" x14ac:dyDescent="0.25">
      <c r="B24" s="91" t="s">
        <v>339</v>
      </c>
      <c r="C24" s="179">
        <f>SUMIFS('Produktion &amp; forbrug'!$AF$4:$AF$147,'Produktion &amp; forbrug'!$F$4:$F$147,C$3,'Produktion &amp; forbrug'!$C$4:$C$147,$B24)</f>
        <v>1918344.9215345967</v>
      </c>
      <c r="D24" s="180">
        <f>SUMIFS('Produktion &amp; forbrug'!$AF$4:$AF$147,'Produktion &amp; forbrug'!$F$4:$F$147,D$3,'Produktion &amp; forbrug'!$C$4:$C$147,$B24)</f>
        <v>66766.505156136613</v>
      </c>
      <c r="E24" s="418">
        <f>SUMIFS('Produktion &amp; forbrug'!$AD$4:$AD$147,'Produktion &amp; forbrug'!$F$4:$F$147,E$21,'Produktion &amp; forbrug'!$C$4:$C$147,$B24)</f>
        <v>3.654108115551467</v>
      </c>
      <c r="F24" s="407">
        <f>SUMIFS('Produktion &amp; forbrug'!$AD$4:$AD$147,'Produktion &amp; forbrug'!$F$4:$F$147,F$21,'Produktion &amp; forbrug'!$C$4:$C$147,$B24)</f>
        <v>0.12739738926111124</v>
      </c>
      <c r="G24" s="418" t="s">
        <v>181</v>
      </c>
      <c r="H24" s="407" t="s">
        <v>181</v>
      </c>
      <c r="I24" s="473">
        <f>SUMIFS('Produktion &amp; forbrug'!$AG$4:$AG$147,'Produktion &amp; forbrug'!$F$4:$F$147,C$3,'Produktion &amp; forbrug'!$C$4:$C$147,$B24)</f>
        <v>3.654108115551467</v>
      </c>
      <c r="J24" s="474">
        <f>SUMIFS('Produktion &amp; forbrug'!$AG$4:$AG$147,'Produktion &amp; forbrug'!$F$4:$F$147,D$3,'Produktion &amp; forbrug'!$C$4:$C$147,$B24)</f>
        <v>0.12739738926111124</v>
      </c>
      <c r="K24" s="477" t="str">
        <f t="shared" si="0"/>
        <v>-</v>
      </c>
      <c r="L24" s="478" t="str">
        <f t="shared" si="1"/>
        <v>-</v>
      </c>
    </row>
    <row r="25" spans="2:12" x14ac:dyDescent="0.25">
      <c r="B25" s="91" t="s">
        <v>54</v>
      </c>
      <c r="C25" s="179">
        <f>SUMIFS('Produktion &amp; forbrug'!$AF$4:$AF$147,'Produktion &amp; forbrug'!$F$4:$F$147,C$3,'Produktion &amp; forbrug'!$C$4:$C$147,$B25)</f>
        <v>41728.949017214291</v>
      </c>
      <c r="D25" s="180">
        <f>SUMIFS('Produktion &amp; forbrug'!$AF$4:$AF$147,'Produktion &amp; forbrug'!$F$4:$F$147,D$3,'Produktion &amp; forbrug'!$C$4:$C$147,$B25)</f>
        <v>1032360.8523594537</v>
      </c>
      <c r="E25" s="418">
        <f>SUMIFS('Produktion &amp; forbrug'!$AD$4:$AD$147,'Produktion &amp; forbrug'!$F$4:$F$147,E$21,'Produktion &amp; forbrug'!$C$4:$C$147,$B25)</f>
        <v>2.1699053488951431E-2</v>
      </c>
      <c r="F25" s="407">
        <f>SUMIFS('Produktion &amp; forbrug'!$AD$4:$AD$147,'Produktion &amp; forbrug'!$F$4:$F$147,F$21,'Produktion &amp; forbrug'!$C$4:$C$147,$B25)</f>
        <v>0.53682764322691601</v>
      </c>
      <c r="G25" s="179">
        <f>SUMIFS('Direkte input'!G:G,'Direkte input'!$F:$F,"Areal-frugt")</f>
        <v>5112.5796318426765</v>
      </c>
      <c r="H25" s="180">
        <f>SUMIFS('Direkte input'!I:I,'Direkte input'!$F:$F,"Areal-frugt")</f>
        <v>174510.60559841484</v>
      </c>
      <c r="I25" s="473">
        <f>SUMIFS('Produktion &amp; forbrug'!$AG$4:$AG$147,'Produktion &amp; forbrug'!$F$4:$F$147,C$3,'Produktion &amp; forbrug'!$C$4:$C$147,$B25)</f>
        <v>2.1699053488951431E-2</v>
      </c>
      <c r="J25" s="474">
        <f>SUMIFS('Produktion &amp; forbrug'!$AG$4:$AG$147,'Produktion &amp; forbrug'!$F$4:$F$147,D$3,'Produktion &amp; forbrug'!$C$4:$C$147,$B25)</f>
        <v>0.53682764322691601</v>
      </c>
      <c r="K25" s="477">
        <f t="shared" si="0"/>
        <v>4.2442475328507809</v>
      </c>
      <c r="L25" s="478">
        <f t="shared" si="1"/>
        <v>3.0761892171887131</v>
      </c>
    </row>
    <row r="26" spans="2:12" x14ac:dyDescent="0.25">
      <c r="B26" s="91" t="s">
        <v>51</v>
      </c>
      <c r="C26" s="179">
        <f>SUMIFS('Produktion &amp; forbrug'!$AF$4:$AF$147,'Produktion &amp; forbrug'!$F$4:$F$147,C$3,'Produktion &amp; forbrug'!$C$4:$C$147,$B26)</f>
        <v>0</v>
      </c>
      <c r="D26" s="180">
        <f>SUMIFS('Produktion &amp; forbrug'!$AF$4:$AF$147,'Produktion &amp; forbrug'!$F$4:$F$147,D$3,'Produktion &amp; forbrug'!$C$4:$C$147,$B26)</f>
        <v>16660551.422717549</v>
      </c>
      <c r="E26" s="418">
        <f>SUMIFS('Produktion &amp; forbrug'!$AD$4:$AD$147,'Produktion &amp; forbrug'!$F$4:$F$147,E$21,'Produktion &amp; forbrug'!$C$4:$C$147,$B26)</f>
        <v>0</v>
      </c>
      <c r="F26" s="407">
        <f>SUMIFS('Produktion &amp; forbrug'!$AD$4:$AD$147,'Produktion &amp; forbrug'!$F$4:$F$147,F$21,'Produktion &amp; forbrug'!$C$4:$C$147,$B26)</f>
        <v>4.5816516412473272</v>
      </c>
      <c r="G26" s="179">
        <f>SUMIFS('Direkte input'!G:G,'Direkte input'!$F:$F,"Areal-græs")+SUMIFS('Direkte input'!G:G,'Direkte input'!$F:$F,"Areal-permanent græs")</f>
        <v>509653.44778886822</v>
      </c>
      <c r="H26" s="180">
        <f>SUMIFS('Direkte input'!I:I,'Direkte input'!$F:$F,"Areal-græs")+SUMIFS('Direkte input'!I:I,'Direkte input'!$F:$F,"Areal-permanent græs")</f>
        <v>715082.47380552406</v>
      </c>
      <c r="I26" s="473">
        <f>SUMIFS('Produktion &amp; forbrug'!$AG$4:$AG$147,'Produktion &amp; forbrug'!$F$4:$F$147,C$3,'Produktion &amp; forbrug'!$C$4:$C$147,$B26)</f>
        <v>0</v>
      </c>
      <c r="J26" s="474">
        <f>SUMIFS('Produktion &amp; forbrug'!$AG$4:$AG$147,'Produktion &amp; forbrug'!$F$4:$F$147,D$3,'Produktion &amp; forbrug'!$C$4:$C$147,$B26)</f>
        <v>7.0036622817106906</v>
      </c>
      <c r="K26" s="477">
        <f t="shared" si="0"/>
        <v>0</v>
      </c>
      <c r="L26" s="478">
        <f t="shared" si="1"/>
        <v>9.7942021211044636</v>
      </c>
    </row>
    <row r="27" spans="2:12" x14ac:dyDescent="0.25">
      <c r="B27" s="91" t="s">
        <v>6</v>
      </c>
      <c r="C27" s="179">
        <f>SUMIFS('Produktion &amp; forbrug'!$AF$4:$AF$147,'Produktion &amp; forbrug'!$F$4:$F$147,C$3,'Produktion &amp; forbrug'!$C$4:$C$147,$B27)</f>
        <v>280322.43675931642</v>
      </c>
      <c r="D27" s="180">
        <f>SUMIFS('Produktion &amp; forbrug'!$AF$4:$AF$147,'Produktion &amp; forbrug'!$F$4:$F$147,D$3,'Produktion &amp; forbrug'!$C$4:$C$147,$B27)</f>
        <v>402131.52042787225</v>
      </c>
      <c r="E27" s="418">
        <f>SUMIFS('Produktion &amp; forbrug'!$AD$4:$AD$147,'Produktion &amp; forbrug'!$F$4:$F$147,E$21,'Produktion &amp; forbrug'!$C$4:$C$147,$B27)</f>
        <v>0.10932575033613341</v>
      </c>
      <c r="F27" s="407">
        <f>SUMIFS('Produktion &amp; forbrug'!$AD$4:$AD$147,'Produktion &amp; forbrug'!$F$4:$F$147,F$21,'Produktion &amp; forbrug'!$C$4:$C$147,$B27)</f>
        <v>0.15683129296687018</v>
      </c>
      <c r="G27" s="179">
        <f>SUMIFS('Direkte input'!G:G,'Direkte input'!$F:$F,"Areal-grøntsager")</f>
        <v>12737.861407364735</v>
      </c>
      <c r="H27" s="180">
        <f>SUMIFS('Direkte input'!I:I,'Direkte input'!$F:$F,"Areal-grøntsager")</f>
        <v>25022.097261734216</v>
      </c>
      <c r="I27" s="473">
        <f>SUMIFS('Produktion &amp; forbrug'!$AG$4:$AG$147,'Produktion &amp; forbrug'!$F$4:$F$147,C$3,'Produktion &amp; forbrug'!$C$4:$C$147,$B27)</f>
        <v>0.10932575033613341</v>
      </c>
      <c r="J27" s="474">
        <f>SUMIFS('Produktion &amp; forbrug'!$AG$4:$AG$147,'Produktion &amp; forbrug'!$F$4:$F$147,D$3,'Produktion &amp; forbrug'!$C$4:$C$147,$B27)</f>
        <v>0.15683129296687018</v>
      </c>
      <c r="K27" s="477">
        <f t="shared" si="0"/>
        <v>8.5827398210600556</v>
      </c>
      <c r="L27" s="478">
        <f t="shared" si="1"/>
        <v>6.2677117479960032</v>
      </c>
    </row>
    <row r="28" spans="2:12" x14ac:dyDescent="0.25">
      <c r="B28" s="91" t="s">
        <v>342</v>
      </c>
      <c r="C28" s="179">
        <f>SUMIFS('Produktion &amp; forbrug'!$AF$4:$AF$147,'Produktion &amp; forbrug'!$F$4:$F$147,C$3,'Produktion &amp; forbrug'!$C$4:$C$147,$B28)</f>
        <v>0</v>
      </c>
      <c r="D28" s="180">
        <f>SUMIFS('Produktion &amp; forbrug'!$AF$4:$AF$147,'Produktion &amp; forbrug'!$F$4:$F$147,D$3,'Produktion &amp; forbrug'!$C$4:$C$147,$B28)</f>
        <v>276887.98874079209</v>
      </c>
      <c r="E28" s="418">
        <f>SUMIFS('Produktion &amp; forbrug'!$AD$4:$AD$147,'Produktion &amp; forbrug'!$F$4:$F$147,E$21,'Produktion &amp; forbrug'!$C$4:$C$147,$B28)</f>
        <v>0</v>
      </c>
      <c r="F28" s="407">
        <f>SUMIFS('Produktion &amp; forbrug'!$AD$4:$AD$147,'Produktion &amp; forbrug'!$F$4:$F$147,F$21,'Produktion &amp; forbrug'!$C$4:$C$147,$B28)</f>
        <v>2.4919918986671288</v>
      </c>
      <c r="G28" s="179">
        <f>SUMIFS('Direkte input'!G:G,'Direkte input'!$F:$F,"Areal-raps")</f>
        <v>161391.51776080468</v>
      </c>
      <c r="H28" s="180">
        <f>SUMIFS('Direkte input'!I:I,'Direkte input'!$F:$F,"Areal-raps")</f>
        <v>292490.40000000002</v>
      </c>
      <c r="I28" s="473">
        <f>SUMIFS('Produktion &amp; forbrug'!$AG$4:$AG$147,'Produktion &amp; forbrug'!$F$4:$F$147,C$3,'Produktion &amp; forbrug'!$C$4:$C$147,$B28)</f>
        <v>0</v>
      </c>
      <c r="J28" s="474">
        <f>SUMIFS('Produktion &amp; forbrug'!$AG$4:$AG$147,'Produktion &amp; forbrug'!$F$4:$F$147,D$3,'Produktion &amp; forbrug'!$C$4:$C$147,$B28)</f>
        <v>2.4919918986671288</v>
      </c>
      <c r="K28" s="477">
        <f t="shared" si="0"/>
        <v>0</v>
      </c>
      <c r="L28" s="478">
        <f t="shared" si="1"/>
        <v>8.5199100506106493</v>
      </c>
    </row>
    <row r="29" spans="2:12" x14ac:dyDescent="0.25">
      <c r="B29" s="91" t="s">
        <v>159</v>
      </c>
      <c r="C29" s="179">
        <f>SUMIFS('Produktion &amp; forbrug'!$AF$4:$AF$147,'Produktion &amp; forbrug'!$F$4:$F$147,C$3,'Produktion &amp; forbrug'!$C$4:$C$147,$B29)</f>
        <v>-5421074.2654714445</v>
      </c>
      <c r="D29" s="180">
        <f>SUMIFS('Produktion &amp; forbrug'!$AF$4:$AF$147,'Produktion &amp; forbrug'!$F$4:$F$147,D$3,'Produktion &amp; forbrug'!$C$4:$C$147,$B29)</f>
        <v>0</v>
      </c>
      <c r="E29" s="418">
        <f>SUMIFS('Produktion &amp; forbrug'!$AD$4:$AD$147,'Produktion &amp; forbrug'!$F$4:$F$147,E$21,'Produktion &amp; forbrug'!$C$4:$C$147,$B29)</f>
        <v>-3.0900123313187238</v>
      </c>
      <c r="F29" s="407">
        <f>SUMIFS('Produktion &amp; forbrug'!$AD$4:$AD$147,'Produktion &amp; forbrug'!$F$4:$F$147,F$21,'Produktion &amp; forbrug'!$C$4:$C$147,$B29)</f>
        <v>0</v>
      </c>
      <c r="G29" s="489">
        <f>IF(C29=0,"-",-C29/$C$15*$C$16)</f>
        <v>1957488.5511149368</v>
      </c>
      <c r="H29" s="490" t="str">
        <f>IF(D29=0,"-",-D29/$C$15*$C$16)</f>
        <v>-</v>
      </c>
      <c r="I29" s="491">
        <f>-SUMIFS('Produktion &amp; forbrug'!$AG$4:$AG$147,'Produktion &amp; forbrug'!$F$4:$F$147,C$3,'Produktion &amp; forbrug'!$C$4:$C$147,$B29)</f>
        <v>3.0900123313187238</v>
      </c>
      <c r="J29" s="492">
        <f>SUMIFS('Produktion &amp; forbrug'!$AG$4:$AG$147,'Produktion &amp; forbrug'!$F$4:$F$147,D$3,'Produktion &amp; forbrug'!$C$4:$C$147,$B29)</f>
        <v>0</v>
      </c>
      <c r="K29" s="493">
        <f t="shared" ref="K29" si="2">IF(G29&lt;&gt;"-",I29*1000000000000/G29/1000000,"-")</f>
        <v>1.5785595933926304</v>
      </c>
      <c r="L29" s="494" t="str">
        <f t="shared" ref="L29" si="3">IF(H29&lt;&gt;"-",J29*1000000000000/H29/1000000,"-")</f>
        <v>-</v>
      </c>
    </row>
    <row r="30" spans="2:12" x14ac:dyDescent="0.25">
      <c r="B30" s="91" t="s">
        <v>12</v>
      </c>
      <c r="C30" s="179">
        <f>SUMIFS('Produktion &amp; forbrug'!$AF$4:$AF$147,'Produktion &amp; forbrug'!$F$4:$F$147,C$3,'Produktion &amp; forbrug'!$C$4:$C$147,$B30)</f>
        <v>2263176.157376945</v>
      </c>
      <c r="D30" s="180">
        <f>SUMIFS('Produktion &amp; forbrug'!$AF$4:$AF$147,'Produktion &amp; forbrug'!$F$4:$F$147,D$3,'Produktion &amp; forbrug'!$C$4:$C$147,$B30)</f>
        <v>3114555.2534101894</v>
      </c>
      <c r="E30" s="418">
        <f>SUMIFS('Produktion &amp; forbrug'!$AD$4:$AD$147,'Produktion &amp; forbrug'!$F$4:$F$147,E$21,'Produktion &amp; forbrug'!$C$4:$C$147,$B30)</f>
        <v>1.765277402754017</v>
      </c>
      <c r="F30" s="407">
        <f>SUMIFS('Produktion &amp; forbrug'!$AD$4:$AD$147,'Produktion &amp; forbrug'!$F$4:$F$147,F$21,'Produktion &amp; forbrug'!$C$4:$C$147,$B30)</f>
        <v>2.4293530976599476</v>
      </c>
      <c r="G30" s="179">
        <f>SUMIFS('Direkte input'!G:G,'Direkte input'!$F:$F,"Areal-kartofler")</f>
        <v>55123.467536910946</v>
      </c>
      <c r="H30" s="180">
        <f>SUMIFS('Direkte input'!I:I,'Direkte input'!$F:$F,"Areal-kartofler")</f>
        <v>105245.26582749051</v>
      </c>
      <c r="I30" s="473">
        <f>SUMIFS('Produktion &amp; forbrug'!$AG$4:$AG$147,'Produktion &amp; forbrug'!$F$4:$F$147,C$3,'Produktion &amp; forbrug'!$C$4:$C$147,$B30)</f>
        <v>1.765277402754017</v>
      </c>
      <c r="J30" s="474">
        <f>SUMIFS('Produktion &amp; forbrug'!$AG$4:$AG$147,'Produktion &amp; forbrug'!$F$4:$F$147,D$3,'Produktion &amp; forbrug'!$C$4:$C$147,$B30)</f>
        <v>2.4293530976599476</v>
      </c>
      <c r="K30" s="477">
        <f t="shared" si="0"/>
        <v>32.02406310110986</v>
      </c>
      <c r="L30" s="478">
        <f t="shared" si="1"/>
        <v>23.082777914608968</v>
      </c>
    </row>
    <row r="31" spans="2:12" x14ac:dyDescent="0.25">
      <c r="B31" s="91" t="s">
        <v>48</v>
      </c>
      <c r="C31" s="179">
        <f>SUMIFS('Produktion &amp; forbrug'!$AF$4:$AF$147,'Produktion &amp; forbrug'!$F$4:$F$147,C$3,'Produktion &amp; forbrug'!$C$4:$C$147,$B31)</f>
        <v>3781951.1214967929</v>
      </c>
      <c r="D31" s="180">
        <f>SUMIFS('Produktion &amp; forbrug'!$AF$4:$AF$147,'Produktion &amp; forbrug'!$F$4:$F$147,D$3,'Produktion &amp; forbrug'!$C$4:$C$147,$B31)</f>
        <v>650627.25370750763</v>
      </c>
      <c r="E31" s="418">
        <f>SUMIFS('Produktion &amp; forbrug'!$AD$4:$AD$147,'Produktion &amp; forbrug'!$F$4:$F$147,E$21,'Produktion &amp; forbrug'!$C$4:$C$147,$B31)</f>
        <v>6.9874764884350302</v>
      </c>
      <c r="F31" s="407">
        <f>SUMIFS('Produktion &amp; forbrug'!$AD$4:$AD$147,'Produktion &amp; forbrug'!$F$4:$F$147,F$21,'Produktion &amp; forbrug'!$C$4:$C$147,$B31)</f>
        <v>1.3030122518944911</v>
      </c>
      <c r="G31" s="179">
        <f>SUMIFS('Direkte input'!G:G,'Direkte input'!$F:$F,"Areal-korn")+SUMIFS('Direkte input'!G:G,'Direkte input'!$F:$F,"Areal-majs")</f>
        <v>1518407.3793527978</v>
      </c>
      <c r="H31" s="180">
        <f>SUMIFS('Direkte input'!I:I,'Direkte input'!$F:$F,"Areal-korn")+SUMIFS('Direkte input'!I:I,'Direkte input'!$F:$F,"Areal-majs")</f>
        <v>127033.34018241841</v>
      </c>
      <c r="I31" s="473">
        <f>SUMIFS('Produktion &amp; forbrug'!$AG$4:$AG$147,'Produktion &amp; forbrug'!$F$4:$F$147,C$3,'Produktion &amp; forbrug'!$C$4:$C$147,$B31)</f>
        <v>28.417641204671398</v>
      </c>
      <c r="J31" s="474">
        <f>SUMIFS('Produktion &amp; forbrug'!$AG$4:$AG$147,'Produktion &amp; forbrug'!$F$4:$F$147,D$3,'Produktion &amp; forbrug'!$C$4:$C$147,$B31)</f>
        <v>2.1154287459317507</v>
      </c>
      <c r="K31" s="477">
        <f t="shared" si="0"/>
        <v>18.715426170270632</v>
      </c>
      <c r="L31" s="478">
        <f t="shared" si="1"/>
        <v>16.652547613831295</v>
      </c>
    </row>
    <row r="32" spans="2:12" x14ac:dyDescent="0.25">
      <c r="B32" s="91" t="s">
        <v>116</v>
      </c>
      <c r="C32" s="179">
        <f>SUMIFS('Produktion &amp; forbrug'!$AF$4:$AF$147,'Produktion &amp; forbrug'!$F$4:$F$147,C$3,'Produktion &amp; forbrug'!$C$4:$C$147,$B32)</f>
        <v>3383628.2</v>
      </c>
      <c r="D32" s="180">
        <f>SUMIFS('Produktion &amp; forbrug'!$AF$4:$AF$147,'Produktion &amp; forbrug'!$F$4:$F$147,D$3,'Produktion &amp; forbrug'!$C$4:$C$147,$B32)</f>
        <v>0</v>
      </c>
      <c r="E32" s="418">
        <f>SUMIFS('Produktion &amp; forbrug'!$AD$4:$AD$147,'Produktion &amp; forbrug'!$F$4:$F$147,E$21,'Produktion &amp; forbrug'!$C$4:$C$147,$B32)</f>
        <v>2.1316857659999999</v>
      </c>
      <c r="F32" s="407">
        <f>SUMIFS('Produktion &amp; forbrug'!$AD$4:$AD$147,'Produktion &amp; forbrug'!$F$4:$F$147,F$21,'Produktion &amp; forbrug'!$C$4:$C$147,$B32)</f>
        <v>0</v>
      </c>
      <c r="G32" s="179" t="s">
        <v>181</v>
      </c>
      <c r="H32" s="180" t="s">
        <v>181</v>
      </c>
      <c r="I32" s="473">
        <f>SUMIFS('Produktion &amp; forbrug'!$AG$4:$AG$147,'Produktion &amp; forbrug'!$F$4:$F$147,C$3,'Produktion &amp; forbrug'!$C$4:$C$147,$B32)</f>
        <v>2.1316857659999999</v>
      </c>
      <c r="J32" s="474">
        <f>SUMIFS('Produktion &amp; forbrug'!$AG$4:$AG$147,'Produktion &amp; forbrug'!$F$4:$F$147,D$3,'Produktion &amp; forbrug'!$C$4:$C$147,$B32)</f>
        <v>0</v>
      </c>
      <c r="K32" s="477" t="str">
        <f t="shared" si="0"/>
        <v>-</v>
      </c>
      <c r="L32" s="478" t="str">
        <f t="shared" si="1"/>
        <v>-</v>
      </c>
    </row>
    <row r="33" spans="2:12" x14ac:dyDescent="0.25">
      <c r="B33" s="91" t="s">
        <v>341</v>
      </c>
      <c r="C33" s="179">
        <f>SUMIFS('Produktion &amp; forbrug'!$AF$4:$AF$147,'Produktion &amp; forbrug'!$F$4:$F$147,C$3,'Produktion &amp; forbrug'!$C$4:$C$147,$B33)</f>
        <v>956.59999999999991</v>
      </c>
      <c r="D33" s="180">
        <f>SUMIFS('Produktion &amp; forbrug'!$AF$4:$AF$147,'Produktion &amp; forbrug'!$F$4:$F$147,D$3,'Produktion &amp; forbrug'!$C$4:$C$147,$B33)</f>
        <v>956.59999999999991</v>
      </c>
      <c r="E33" s="418">
        <f>SUMIFS('Produktion &amp; forbrug'!$AD$4:$AD$147,'Produktion &amp; forbrug'!$F$4:$F$147,E$21,'Produktion &amp; forbrug'!$C$4:$C$147,$B33)</f>
        <v>7.6169499999999995E-4</v>
      </c>
      <c r="F33" s="407">
        <f>SUMIFS('Produktion &amp; forbrug'!$AD$4:$AD$147,'Produktion &amp; forbrug'!$F$4:$F$147,F$21,'Produktion &amp; forbrug'!$C$4:$C$147,$B33)</f>
        <v>7.6169499999999995E-4</v>
      </c>
      <c r="G33" s="179" t="s">
        <v>181</v>
      </c>
      <c r="H33" s="180" t="s">
        <v>181</v>
      </c>
      <c r="I33" s="473">
        <f>SUMIFS('Produktion &amp; forbrug'!$AG$4:$AG$147,'Produktion &amp; forbrug'!$F$4:$F$147,C$3,'Produktion &amp; forbrug'!$C$4:$C$147,$B33)</f>
        <v>7.6169499999999995E-4</v>
      </c>
      <c r="J33" s="474">
        <f>SUMIFS('Produktion &amp; forbrug'!$AG$4:$AG$147,'Produktion &amp; forbrug'!$F$4:$F$147,D$3,'Produktion &amp; forbrug'!$C$4:$C$147,$B33)</f>
        <v>7.6169499999999995E-4</v>
      </c>
      <c r="K33" s="477" t="str">
        <f t="shared" si="0"/>
        <v>-</v>
      </c>
      <c r="L33" s="478" t="str">
        <f t="shared" si="1"/>
        <v>-</v>
      </c>
    </row>
    <row r="34" spans="2:12" ht="15.75" thickBot="1" x14ac:dyDescent="0.3">
      <c r="B34" s="91" t="s">
        <v>52</v>
      </c>
      <c r="C34" s="181">
        <f>SUMIFS('Produktion &amp; forbrug'!$AF$4:$AF$147,'Produktion &amp; forbrug'!$F$4:$F$147,C$3,'Produktion &amp; forbrug'!$C$4:$C$147,$B34)</f>
        <v>1637775.5474174484</v>
      </c>
      <c r="D34" s="183">
        <f>SUMIFS('Produktion &amp; forbrug'!$AF$4:$AF$147,'Produktion &amp; forbrug'!$F$4:$F$147,D$3,'Produktion &amp; forbrug'!$C$4:$C$147,$B34)</f>
        <v>3584675.3397181393</v>
      </c>
      <c r="E34" s="419">
        <f>SUMIFS('Produktion &amp; forbrug'!$AD$4:$AD$147,'Produktion &amp; forbrug'!$F$4:$F$147,E$21,'Produktion &amp; forbrug'!$C$4:$C$147,$B34)</f>
        <v>0.49133266422523447</v>
      </c>
      <c r="F34" s="408">
        <f>SUMIFS('Produktion &amp; forbrug'!$AD$4:$AD$147,'Produktion &amp; forbrug'!$F$4:$F$147,F$21,'Produktion &amp; forbrug'!$C$4:$C$147,$B34)</f>
        <v>1.0754026019154417</v>
      </c>
      <c r="G34" s="181">
        <f>SUMIFS('Direkte input'!G:G,'Direkte input'!$F:$F,"Areal-roer")</f>
        <v>33713.005264576917</v>
      </c>
      <c r="H34" s="183">
        <f>SUMIFS('Direkte input'!I:I,'Direkte input'!$F:$F,"Areal-roer")</f>
        <v>64726.236910775297</v>
      </c>
      <c r="I34" s="475">
        <f>SUMIFS('Produktion &amp; forbrug'!$AG$4:$AG$147,'Produktion &amp; forbrug'!$F$4:$F$147,C$3,'Produktion &amp; forbrug'!$C$4:$C$147,$B34)</f>
        <v>0.78325021257093119</v>
      </c>
      <c r="J34" s="476">
        <f>SUMIFS('Produktion &amp; forbrug'!$AG$4:$AG$147,'Produktion &amp; forbrug'!$F$4:$F$147,D$3,'Produktion &amp; forbrug'!$C$4:$C$147,$B34)</f>
        <v>1.0993777387011785</v>
      </c>
      <c r="K34" s="479">
        <f t="shared" si="0"/>
        <v>23.232880202285362</v>
      </c>
      <c r="L34" s="480">
        <f t="shared" si="1"/>
        <v>16.985040242902794</v>
      </c>
    </row>
    <row r="35" spans="2:12" x14ac:dyDescent="0.25">
      <c r="B35" s="91" t="s">
        <v>30</v>
      </c>
      <c r="C35" s="94">
        <f t="shared" ref="C35:F35" si="4">SUM(C22:C34)</f>
        <v>8334764.4326650556</v>
      </c>
      <c r="D35" s="94">
        <f t="shared" si="4"/>
        <v>26717178.997870207</v>
      </c>
      <c r="E35" s="401">
        <f t="shared" si="4"/>
        <v>13.874925444162036</v>
      </c>
      <c r="F35" s="401">
        <f t="shared" si="4"/>
        <v>18.910930594668351</v>
      </c>
      <c r="G35" s="94">
        <f>SUM(G22:G34)</f>
        <v>4330564.3008620162</v>
      </c>
      <c r="H35" s="94">
        <f>SUM(H22:H34)</f>
        <v>1835599.5395863573</v>
      </c>
    </row>
    <row r="36" spans="2:12" x14ac:dyDescent="0.25">
      <c r="B36" s="482" t="s">
        <v>406</v>
      </c>
      <c r="C36" t="s">
        <v>181</v>
      </c>
      <c r="D36" t="s">
        <v>181</v>
      </c>
      <c r="E36" t="s">
        <v>181</v>
      </c>
      <c r="F36" s="469">
        <f>F35*10/90</f>
        <v>2.1012145105187057</v>
      </c>
    </row>
    <row r="37" spans="2:12" x14ac:dyDescent="0.25">
      <c r="B37" s="482" t="s">
        <v>407</v>
      </c>
      <c r="C37" t="s">
        <v>181</v>
      </c>
      <c r="D37" t="s">
        <v>181</v>
      </c>
      <c r="E37" t="s">
        <v>181</v>
      </c>
      <c r="F37" s="469">
        <f>F36*1000000/50000</f>
        <v>42.024290210374112</v>
      </c>
    </row>
    <row r="38" spans="2:12" x14ac:dyDescent="0.25">
      <c r="C38" s="450" t="s">
        <v>349</v>
      </c>
      <c r="D38" s="450"/>
    </row>
    <row r="39" spans="2:12" ht="15.75" thickBot="1" x14ac:dyDescent="0.3">
      <c r="C39">
        <f>År1</f>
        <v>2019</v>
      </c>
      <c r="D39">
        <f>År3</f>
        <v>2050</v>
      </c>
    </row>
    <row r="40" spans="2:12" x14ac:dyDescent="0.25">
      <c r="B40" t="s">
        <v>229</v>
      </c>
      <c r="C40" s="405">
        <f ca="1">SUMIFS('Produktion &amp; forbrug'!$AE$4:$AE$147,'Produktion &amp; forbrug'!$F$4:$F$147,C$3,'Produktion &amp; forbrug'!$B$4:$B$147,$B40)</f>
        <v>4698263.1968560591</v>
      </c>
      <c r="D40" s="409">
        <f ca="1">SUMIFS('Produktion &amp; forbrug'!$AE$4:$AE$147,'Produktion &amp; forbrug'!$F$4:$F$147,D$3,'Produktion &amp; forbrug'!$B$4:$B$147,$B40)</f>
        <v>7108480.1569624562</v>
      </c>
    </row>
    <row r="41" spans="2:12" x14ac:dyDescent="0.25">
      <c r="B41" t="s">
        <v>221</v>
      </c>
      <c r="C41" s="179">
        <f>SUMIFS('Produktion &amp; forbrug'!$AE$4:$AE$147,'Produktion &amp; forbrug'!$F$4:$F$147,C$3,'Produktion &amp; forbrug'!$B$4:$B$147,$B41)</f>
        <v>1352218.0071428572</v>
      </c>
      <c r="D41" s="180">
        <f>SUMIFS('Produktion &amp; forbrug'!$AE$4:$AE$147,'Produktion &amp; forbrug'!$F$4:$F$147,D$3,'Produktion &amp; forbrug'!$B$4:$B$147,$B41)</f>
        <v>40868.939648840227</v>
      </c>
    </row>
    <row r="42" spans="2:12" x14ac:dyDescent="0.25">
      <c r="B42" t="s">
        <v>203</v>
      </c>
      <c r="C42" s="179">
        <f>SUMIFS('Produktion &amp; forbrug'!$AE$4:$AE$147,'Produktion &amp; forbrug'!$F$4:$F$147,C$3,'Produktion &amp; forbrug'!$B$4:$B$147,$B42)</f>
        <v>0</v>
      </c>
      <c r="D42" s="180">
        <f>SUMIFS('Produktion &amp; forbrug'!$AE$4:$AE$147,'Produktion &amp; forbrug'!$F$4:$F$147,D$3,'Produktion &amp; forbrug'!$B$4:$B$147,$B42)</f>
        <v>4272142.4689821573</v>
      </c>
    </row>
    <row r="43" spans="2:12" x14ac:dyDescent="0.25">
      <c r="B43" t="s">
        <v>223</v>
      </c>
      <c r="C43" s="179">
        <f>SUMIFS('Produktion &amp; forbrug'!$AE$4:$AE$147,'Produktion &amp; forbrug'!$F$4:$F$147,C$3,'Produktion &amp; forbrug'!$B$4:$B$147,$B43)</f>
        <v>4087571.5535632987</v>
      </c>
      <c r="D43" s="180">
        <f>SUMIFS('Produktion &amp; forbrug'!$AE$4:$AE$147,'Produktion &amp; forbrug'!$F$4:$F$147,D$3,'Produktion &amp; forbrug'!$B$4:$B$147,$B43)</f>
        <v>13328441.138174038</v>
      </c>
    </row>
    <row r="44" spans="2:12" x14ac:dyDescent="0.25">
      <c r="B44" t="s">
        <v>226</v>
      </c>
      <c r="C44" s="179">
        <f>SUMIFS('Produktion &amp; forbrug'!$AE$4:$AE$147,'Produktion &amp; forbrug'!$F$4:$F$147,C$3,'Produktion &amp; forbrug'!$B$4:$B$147,$B44)</f>
        <v>1895494.5192748315</v>
      </c>
      <c r="D44" s="180">
        <f>SUMIFS('Produktion &amp; forbrug'!$AE$4:$AE$147,'Produktion &amp; forbrug'!$F$4:$F$147,D$3,'Produktion &amp; forbrug'!$B$4:$B$147,$B44)</f>
        <v>797017.71721988893</v>
      </c>
    </row>
    <row r="45" spans="2:12" x14ac:dyDescent="0.25">
      <c r="B45" t="s">
        <v>225</v>
      </c>
      <c r="C45" s="179">
        <f>SUMIFS('Produktion &amp; forbrug'!$AE$4:$AE$147,'Produktion &amp; forbrug'!$F$4:$F$147,C$3,'Produktion &amp; forbrug'!$B$4:$B$147,$B45)</f>
        <v>0</v>
      </c>
      <c r="D45" s="180">
        <f>SUMIFS('Produktion &amp; forbrug'!$AE$4:$AE$147,'Produktion &amp; forbrug'!$F$4:$F$147,D$3,'Produktion &amp; forbrug'!$B$4:$B$147,$B45)</f>
        <v>0</v>
      </c>
    </row>
    <row r="46" spans="2:12" x14ac:dyDescent="0.25">
      <c r="B46" t="s">
        <v>224</v>
      </c>
      <c r="C46" s="179">
        <f ca="1">SUMIFS('Produktion &amp; forbrug'!$AE$4:$AE$147,'Produktion &amp; forbrug'!$F$4:$F$147,C$3,'Produktion &amp; forbrug'!$B$4:$B$147,$B46)</f>
        <v>3220159.2034965986</v>
      </c>
      <c r="D46" s="180">
        <f ca="1">SUMIFS('Produktion &amp; forbrug'!$AE$4:$AE$147,'Produktion &amp; forbrug'!$F$4:$F$147,D$3,'Produktion &amp; forbrug'!$B$4:$B$147,$B46)</f>
        <v>4514694.8749305187</v>
      </c>
    </row>
    <row r="47" spans="2:12" ht="15.75" thickBot="1" x14ac:dyDescent="0.3">
      <c r="B47" t="s">
        <v>230</v>
      </c>
      <c r="C47" s="181">
        <f>SUMIFS('Produktion &amp; forbrug'!$AE$4:$AE$147,'Produktion &amp; forbrug'!$F$4:$F$147,C$3,'Produktion &amp; forbrug'!$B$4:$B$147,$B47)</f>
        <v>112873.31802427147</v>
      </c>
      <c r="D47" s="183">
        <f>SUMIFS('Produktion &amp; forbrug'!$AE$4:$AE$147,'Produktion &amp; forbrug'!$F$4:$F$147,D$3,'Produktion &amp; forbrug'!$B$4:$B$147,$B47)</f>
        <v>0</v>
      </c>
    </row>
    <row r="48" spans="2:12" x14ac:dyDescent="0.25">
      <c r="C48" s="94">
        <f ca="1">SUM(C40:C47)</f>
        <v>15366579.798357917</v>
      </c>
      <c r="D48" s="94">
        <f ca="1">SUM(D40:D47)</f>
        <v>30061645.295917902</v>
      </c>
    </row>
    <row r="52" spans="2:4" x14ac:dyDescent="0.25">
      <c r="B52" s="466"/>
      <c r="C52" s="466"/>
      <c r="D52" s="466"/>
    </row>
    <row r="53" spans="2:4" x14ac:dyDescent="0.25">
      <c r="B53" s="466"/>
      <c r="C53" s="467"/>
      <c r="D53" s="467"/>
    </row>
    <row r="54" spans="2:4" x14ac:dyDescent="0.25">
      <c r="B54" s="466"/>
      <c r="C54" s="468"/>
      <c r="D54" s="468"/>
    </row>
    <row r="55" spans="2:4" x14ac:dyDescent="0.25">
      <c r="B55" s="466"/>
      <c r="C55" s="467"/>
      <c r="D55" s="467"/>
    </row>
    <row r="56" spans="2:4" x14ac:dyDescent="0.25">
      <c r="B56" s="466"/>
      <c r="C56" s="468"/>
      <c r="D56" s="468"/>
    </row>
    <row r="57" spans="2:4" x14ac:dyDescent="0.25">
      <c r="B57" s="466"/>
      <c r="C57" s="468"/>
      <c r="D57" s="468"/>
    </row>
    <row r="58" spans="2:4" x14ac:dyDescent="0.25">
      <c r="B58" s="466"/>
      <c r="C58" s="468"/>
      <c r="D58" s="468"/>
    </row>
    <row r="59" spans="2:4" x14ac:dyDescent="0.25">
      <c r="B59" s="466"/>
      <c r="C59" s="468"/>
      <c r="D59" s="468"/>
    </row>
    <row r="60" spans="2:4" x14ac:dyDescent="0.25">
      <c r="B60" s="466"/>
      <c r="C60" s="468"/>
      <c r="D60" s="468"/>
    </row>
    <row r="61" spans="2:4" x14ac:dyDescent="0.25">
      <c r="B61" s="466"/>
      <c r="C61" s="468"/>
      <c r="D61" s="468"/>
    </row>
    <row r="62" spans="2:4" x14ac:dyDescent="0.25">
      <c r="B62" s="466"/>
      <c r="C62" s="468"/>
      <c r="D62" s="468"/>
    </row>
    <row r="63" spans="2:4" x14ac:dyDescent="0.25">
      <c r="B63" s="466"/>
      <c r="C63" s="468"/>
      <c r="D63" s="468"/>
    </row>
    <row r="64" spans="2:4" x14ac:dyDescent="0.25">
      <c r="B64" s="466"/>
      <c r="C64" s="468"/>
      <c r="D64" s="468"/>
    </row>
    <row r="65" spans="2:4" x14ac:dyDescent="0.25">
      <c r="B65" s="466"/>
      <c r="C65" s="466"/>
      <c r="D65" s="466"/>
    </row>
    <row r="66" spans="2:4" x14ac:dyDescent="0.25">
      <c r="B66" s="466"/>
      <c r="C66" s="466"/>
      <c r="D66" s="466"/>
    </row>
  </sheetData>
  <mergeCells count="9">
    <mergeCell ref="G20:H20"/>
    <mergeCell ref="I20:J20"/>
    <mergeCell ref="K20:L20"/>
    <mergeCell ref="C38:D38"/>
    <mergeCell ref="B1:D1"/>
    <mergeCell ref="B19:F19"/>
    <mergeCell ref="C20:D20"/>
    <mergeCell ref="E20:F20"/>
    <mergeCell ref="C2:D2"/>
  </mergeCells>
  <hyperlinks>
    <hyperlink ref="C14" r:id="rId1" xr:uid="{A957346B-C81C-4740-B8CD-85F871B48E06}"/>
  </hyperlinks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E18"/>
  <sheetViews>
    <sheetView zoomScale="106" workbookViewId="0">
      <selection activeCell="B9" sqref="B9"/>
    </sheetView>
  </sheetViews>
  <sheetFormatPr defaultRowHeight="15" x14ac:dyDescent="0.25"/>
  <cols>
    <col min="3" max="3" width="17.5703125" bestFit="1" customWidth="1"/>
    <col min="5" max="5" width="19.5703125" bestFit="1" customWidth="1"/>
  </cols>
  <sheetData>
    <row r="1" spans="1:5" x14ac:dyDescent="0.25">
      <c r="A1" t="s">
        <v>343</v>
      </c>
      <c r="B1" t="s">
        <v>344</v>
      </c>
      <c r="C1">
        <f>År1</f>
        <v>2019</v>
      </c>
      <c r="D1">
        <f>År2</f>
        <v>2030</v>
      </c>
      <c r="E1">
        <f>År3</f>
        <v>2050</v>
      </c>
    </row>
    <row r="2" spans="1:5" x14ac:dyDescent="0.25">
      <c r="A2" s="171" t="s">
        <v>15</v>
      </c>
      <c r="B2" t="s">
        <v>15</v>
      </c>
      <c r="C2">
        <v>1</v>
      </c>
      <c r="D2">
        <v>1</v>
      </c>
      <c r="E2">
        <v>1</v>
      </c>
    </row>
    <row r="3" spans="1:5" x14ac:dyDescent="0.25">
      <c r="A3" s="171" t="s">
        <v>49</v>
      </c>
      <c r="B3" t="s">
        <v>49</v>
      </c>
      <c r="C3">
        <v>1</v>
      </c>
      <c r="D3">
        <v>1</v>
      </c>
      <c r="E3">
        <v>1</v>
      </c>
    </row>
    <row r="4" spans="1:5" x14ac:dyDescent="0.25">
      <c r="A4" t="s">
        <v>96</v>
      </c>
      <c r="B4" t="s">
        <v>339</v>
      </c>
      <c r="C4">
        <v>1</v>
      </c>
      <c r="D4">
        <v>1</v>
      </c>
      <c r="E4">
        <v>1</v>
      </c>
    </row>
    <row r="5" spans="1:5" x14ac:dyDescent="0.25">
      <c r="A5" t="s">
        <v>54</v>
      </c>
      <c r="B5" t="s">
        <v>54</v>
      </c>
      <c r="C5">
        <v>1</v>
      </c>
      <c r="D5">
        <v>1</v>
      </c>
      <c r="E5">
        <v>1</v>
      </c>
    </row>
    <row r="6" spans="1:5" x14ac:dyDescent="0.25">
      <c r="A6" t="s">
        <v>51</v>
      </c>
      <c r="B6" t="s">
        <v>51</v>
      </c>
      <c r="C6" s="415">
        <f>Græsprotein!C3/Græsprotein!$C$3*Græsprotein!C4*Græsprotein!C8</f>
        <v>0</v>
      </c>
      <c r="D6" s="415">
        <f>Græsprotein!D3/Græsprotein!$C$3*Græsprotein!D4*Græsprotein!D8</f>
        <v>0.10740981098359725</v>
      </c>
      <c r="E6" s="415">
        <f>Græsprotein!E3/Græsprotein!$C$3*Græsprotein!E4*Græsprotein!E8</f>
        <v>0.46296296296296302</v>
      </c>
    </row>
    <row r="7" spans="1:5" x14ac:dyDescent="0.25">
      <c r="A7" s="171" t="s">
        <v>6</v>
      </c>
      <c r="B7" t="s">
        <v>6</v>
      </c>
      <c r="C7">
        <v>1</v>
      </c>
      <c r="D7">
        <v>1</v>
      </c>
      <c r="E7">
        <v>1</v>
      </c>
    </row>
    <row r="8" spans="1:5" x14ac:dyDescent="0.25">
      <c r="A8" t="s">
        <v>159</v>
      </c>
      <c r="B8" t="s">
        <v>159</v>
      </c>
      <c r="C8">
        <v>1</v>
      </c>
      <c r="D8">
        <v>1</v>
      </c>
      <c r="E8">
        <v>1</v>
      </c>
    </row>
    <row r="9" spans="1:5" x14ac:dyDescent="0.25">
      <c r="A9" s="171" t="s">
        <v>12</v>
      </c>
      <c r="B9" t="s">
        <v>12</v>
      </c>
      <c r="C9">
        <v>1</v>
      </c>
      <c r="D9">
        <v>1</v>
      </c>
      <c r="E9">
        <v>1</v>
      </c>
    </row>
    <row r="10" spans="1:5" x14ac:dyDescent="0.25">
      <c r="A10" s="171" t="s">
        <v>48</v>
      </c>
      <c r="B10" t="s">
        <v>48</v>
      </c>
      <c r="C10">
        <v>1</v>
      </c>
      <c r="D10">
        <v>1</v>
      </c>
      <c r="E10">
        <v>1</v>
      </c>
    </row>
    <row r="11" spans="1:5" x14ac:dyDescent="0.25">
      <c r="A11" t="s">
        <v>53</v>
      </c>
      <c r="B11" t="s">
        <v>48</v>
      </c>
      <c r="C11">
        <v>1</v>
      </c>
      <c r="D11">
        <v>1</v>
      </c>
      <c r="E11">
        <v>1</v>
      </c>
    </row>
    <row r="12" spans="1:5" x14ac:dyDescent="0.25">
      <c r="A12" s="171" t="s">
        <v>116</v>
      </c>
      <c r="B12" t="s">
        <v>116</v>
      </c>
      <c r="C12">
        <v>1</v>
      </c>
      <c r="D12">
        <v>1</v>
      </c>
      <c r="E12">
        <v>1</v>
      </c>
    </row>
    <row r="13" spans="1:5" x14ac:dyDescent="0.25">
      <c r="A13" s="171" t="s">
        <v>106</v>
      </c>
      <c r="B13" t="s">
        <v>341</v>
      </c>
      <c r="C13">
        <v>1</v>
      </c>
      <c r="D13">
        <v>1</v>
      </c>
      <c r="E13">
        <v>1</v>
      </c>
    </row>
    <row r="14" spans="1:5" x14ac:dyDescent="0.25">
      <c r="A14" s="171" t="s">
        <v>14</v>
      </c>
      <c r="B14" t="s">
        <v>339</v>
      </c>
      <c r="C14">
        <v>1</v>
      </c>
      <c r="D14">
        <v>1</v>
      </c>
      <c r="E14">
        <v>1</v>
      </c>
    </row>
    <row r="15" spans="1:5" x14ac:dyDescent="0.25">
      <c r="A15" t="s">
        <v>230</v>
      </c>
      <c r="B15" t="s">
        <v>342</v>
      </c>
      <c r="C15">
        <v>0</v>
      </c>
      <c r="D15">
        <v>1</v>
      </c>
      <c r="E15">
        <v>1</v>
      </c>
    </row>
    <row r="16" spans="1:5" x14ac:dyDescent="0.25">
      <c r="A16" t="s">
        <v>52</v>
      </c>
      <c r="B16" t="s">
        <v>52</v>
      </c>
      <c r="C16">
        <v>1</v>
      </c>
      <c r="D16">
        <v>1</v>
      </c>
      <c r="E16">
        <v>1</v>
      </c>
    </row>
    <row r="17" spans="1:5" x14ac:dyDescent="0.25">
      <c r="A17" s="171" t="s">
        <v>13</v>
      </c>
      <c r="B17" t="s">
        <v>339</v>
      </c>
      <c r="C17">
        <v>1</v>
      </c>
      <c r="D17">
        <v>1</v>
      </c>
      <c r="E17">
        <v>1</v>
      </c>
    </row>
    <row r="18" spans="1:5" x14ac:dyDescent="0.25">
      <c r="A18" s="171" t="s">
        <v>99</v>
      </c>
      <c r="B18" t="s">
        <v>341</v>
      </c>
      <c r="C18">
        <v>1</v>
      </c>
      <c r="D18">
        <v>1</v>
      </c>
      <c r="E18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57" t="s">
        <v>7</v>
      </c>
      <c r="D3" s="458"/>
      <c r="E3" s="458"/>
      <c r="F3" s="458"/>
      <c r="G3" s="458"/>
      <c r="H3" s="458"/>
      <c r="I3" s="458"/>
      <c r="J3" s="458"/>
      <c r="K3" s="459"/>
      <c r="L3" s="457" t="s">
        <v>8</v>
      </c>
      <c r="M3" s="458"/>
      <c r="N3" s="458"/>
      <c r="O3" s="458"/>
      <c r="P3" s="458"/>
      <c r="Q3" s="458"/>
      <c r="R3" s="458"/>
      <c r="S3" s="458"/>
      <c r="T3" s="459"/>
      <c r="U3" s="70"/>
      <c r="W3" s="30" t="s">
        <v>271</v>
      </c>
      <c r="X3" s="34">
        <f>C24+C51</f>
        <v>11808068</v>
      </c>
      <c r="Y3" s="11">
        <f>D24+D51</f>
        <v>8561037.8896729536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272</v>
      </c>
      <c r="X4" s="34">
        <f t="shared" ref="X4:Z5" si="0">C25+C52</f>
        <v>1267084</v>
      </c>
      <c r="Y4" s="11">
        <f t="shared" si="0"/>
        <v>873828.67349799909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273</v>
      </c>
      <c r="X5" s="47">
        <f t="shared" si="0"/>
        <v>19782594</v>
      </c>
      <c r="Y5" s="15">
        <f t="shared" si="0"/>
        <v>15935713.861353351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553518.20843543066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11196.260693157685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5659.6634285023883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70773.67631420336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1431.5708465431917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723.65313630488879</v>
      </c>
      <c r="R6" s="11">
        <f>IF(Landbrug!$E$47&gt;0,SUMIF(Landbrug!$B$32:$B$45,$B6,IF($R$4=År2,Landbrug!$D$32:$D$45,Landbrug!$E$32:$E$45)),'[1]Afgrødefordeling - jordtype'!$G4)*(Landbrug!$E$5)*Arealanvendelse!P$26</f>
        <v>83959.75199188129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274</v>
      </c>
      <c r="X6" s="33">
        <f t="shared" ref="X6:Z8" si="1">F24+F51</f>
        <v>490924</v>
      </c>
      <c r="Y6" s="11">
        <f t="shared" si="1"/>
        <v>307302.95871414396</v>
      </c>
      <c r="Z6" s="22">
        <f t="shared" si="1"/>
        <v>1461233.9958062756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121069.71545865215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959.79052447193897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325.87901868990201</v>
      </c>
      <c r="I7" s="11">
        <f>IF(Landbrug!$E$47&gt;0,SUMIF(Landbrug!$B$32:$B$45,$B7,IF($I$4=År2,Landbrug!$D$32:$D$45,Landbrug!$E$32:$E$45)),'[1]Afgrødefordeling - jordtype'!$G5)*(1-Landbrug!$E$5)*Arealanvendelse!P$26</f>
        <v>0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15480.15715245056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122.72026985421287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41.667384803005618</v>
      </c>
      <c r="R7" s="11">
        <f>IF(Landbrug!$E$47&gt;0,SUMIF(Landbrug!$B$32:$B$45,$B7,IF($R$4=År2,Landbrug!$D$32:$D$45,Landbrug!$E$32:$E$45)),'[1]Afgrødefordeling - jordtype'!$G5)*(Landbrug!$E$5)*Arealanvendelse!P$26</f>
        <v>248745.6103160124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275</v>
      </c>
      <c r="X7" s="33">
        <f t="shared" si="1"/>
        <v>224348</v>
      </c>
      <c r="Y7" s="11">
        <f t="shared" si="1"/>
        <v>156632.4403069797</v>
      </c>
      <c r="Z7" s="22">
        <f t="shared" si="1"/>
        <v>203140.18777220321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143784.0142759982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1027.7273757818732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421.99857265679589</v>
      </c>
      <c r="I8" s="11">
        <f>IF(Landbrug!$E$47&gt;0,SUMIF(Landbrug!$B$32:$B$45,$B8,IF($I$4=År2,Landbrug!$D$32:$D$45,Landbrug!$E$32:$E$45)),'[1]Afgrødefordeling - jordtype'!$G6)*(1-Landbrug!$E$5)*Arealanvendelse!P$26</f>
        <v>0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18384.441795130875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131.4067785383736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53.957376525494915</v>
      </c>
      <c r="R8" s="11">
        <f>IF(Landbrug!$E$47&gt;0,SUMIF(Landbrug!$B$32:$B$45,$B8,IF($R$4=År2,Landbrug!$D$32:$D$45,Landbrug!$E$32:$E$45)),'[1]Afgrødefordeling - jordtype'!$G6)*(Landbrug!$E$5)*Arealanvendelse!P$26</f>
        <v>219481.42086706977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276</v>
      </c>
      <c r="X8" s="46">
        <f t="shared" si="1"/>
        <v>3277287</v>
      </c>
      <c r="Y8" s="15">
        <f t="shared" si="1"/>
        <v>2594792.8031627773</v>
      </c>
      <c r="Z8" s="23">
        <f t="shared" si="1"/>
        <v>10022440.49339902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285623.05173795577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9484.230989471238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9732.6192199682846</v>
      </c>
      <c r="I9" s="11">
        <f>IF(Landbrug!$E$47&gt;0,SUMIF(Landbrug!$B$32:$B$45,$B9,IF($I$4=År2,Landbrug!$D$32:$D$45,Landbrug!$E$32:$E$45)),'[1]Afgrødefordeling - jordtype'!$G7)*(1-Landbrug!$E$5)*Arealanvendelse!P$26</f>
        <v>0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36520.195909571652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1212.6681361310182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1244.4274314126412</v>
      </c>
      <c r="R9" s="11">
        <f>IF(Landbrug!$E$47&gt;0,SUMIF(Landbrug!$B$32:$B$45,$B9,IF($R$4=År2,Landbrug!$D$32:$D$45,Landbrug!$E$32:$E$45)),'[1]Afgrødefordeling - jordtype'!$G7)*(Landbrug!$E$5)*Arealanvendelse!P$26</f>
        <v>512123.31535649608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11928.206902902208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44.358105077588014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11.31234505051532</v>
      </c>
      <c r="I10" s="11">
        <f>IF(Landbrug!$E$47&gt;0,SUMIF(Landbrug!$B$32:$B$45,$B10,IF($I$4=År2,Landbrug!$D$32:$D$45,Landbrug!$E$32:$E$45)),'[1]Afgrødefordeling - jordtype'!$G8)*(1-Landbrug!$E$5)*Arealanvendelse!P$26</f>
        <v>0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1525.1585972954053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5.6716944859797733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1.4464135682595993</v>
      </c>
      <c r="R10" s="11">
        <f>IF(Landbrug!$E$47&gt;0,SUMIF(Landbrug!$B$32:$B$45,$B10,IF($R$4=År2,Landbrug!$D$32:$D$45,Landbrug!$E$32:$E$45)),'[1]Afgrødefordeling - jordtype'!$G8)*(Landbrug!$E$5)*Arealanvendelse!P$26</f>
        <v>18776.293034162631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50171.146455460723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700.29950715558721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598.76574080415071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6414.9587591488944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89.54135543710359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76.559094320472624</v>
      </c>
      <c r="R11" s="11">
        <f>IF(Landbrug!$E$47&gt;0,SUMIF(Landbrug!$B$32:$B$45,$B11,IF($R$4=År2,Landbrug!$D$32:$D$45,Landbrug!$E$32:$E$45)),'[1]Afgrødefordeling - jordtype'!$G9)*(Landbrug!$E$5)*Arealanvendelse!P$26</f>
        <v>78974.832963235996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30855.4450029535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18.37258126009214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6.4750902601840021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3945.2239219777639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2.3491460612173207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0.82791484579133123</v>
      </c>
      <c r="R12" s="11">
        <f>IF(Landbrug!$E$47&gt;0,SUMIF(Landbrug!$B$32:$B$45,$B12,IF($R$4=År2,Landbrug!$D$32:$D$45,Landbrug!$E$32:$E$45)),'[1]Afgrødefordeling - jordtype'!$G10)*(Landbrug!$E$5)*Arealanvendelse!P$26</f>
        <v>48569.821247314576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74922.962243622984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2371.6241464994846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805.2408623097682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9579.7634070966851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303.23945468341958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102.95931601810993</v>
      </c>
      <c r="R13" s="11">
        <f>IF(Landbrug!$E$47&gt;0,SUMIF(Landbrug!$B$32:$B$45,$B13,IF($R$4=År2,Landbrug!$D$32:$D$45,Landbrug!$E$32:$E$45)),'[1]Afgrødefordeling - jordtype'!$G11)*(Landbrug!$E$5)*Arealanvendelse!P$26</f>
        <v>11364.600536362441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49850.106336440978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40.402656114127915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23.075756148004398</v>
      </c>
      <c r="I14" s="11">
        <f>IF(Landbrug!$E$47&gt;0,SUMIF(Landbrug!$B$32:$B$45,$B14,IF($I$4=År2,Landbrug!$D$32:$D$45,Landbrug!$E$32:$E$45)),'[1]Afgrødefordeling - jordtype'!$G12)*(1-Landbrug!$E$5)*Arealanvendelse!P$26</f>
        <v>0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6373.9100833851826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5.1659447918395278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2.9505011243272654</v>
      </c>
      <c r="R14" s="11">
        <f>IF(Landbrug!$E$47&gt;0,SUMIF(Landbrug!$B$32:$B$45,$B14,IF($R$4=År2,Landbrug!$D$32:$D$45,Landbrug!$E$32:$E$45)),'[1]Afgrødefordeling - jordtype'!$G12)*(Landbrug!$E$5)*Arealanvendelse!P$26</f>
        <v>130950.74461627769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28800.386873616728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714.55739207378303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408.11554781624284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3682.4610776195564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91.364390193228076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52.182271946542372</v>
      </c>
      <c r="R15" s="11">
        <f>IF(Landbrug!$E$47&gt;0,SUMIF(Landbrug!$B$32:$B$45,$B15,IF($R$4=År2,Landbrug!$D$32:$D$45,Landbrug!$E$32:$E$45)),'[1]Afgrødefordeling - jordtype'!$G13)*(Landbrug!$E$5)*Arealanvendelse!P$26</f>
        <v>4368.5524745680859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41596.560342098521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1763.7383660176956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1298.4872253048338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5318.5991943376657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225.51425827943592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166.02654290562981</v>
      </c>
      <c r="R16" s="11">
        <f>IF(Landbrug!$E$47&gt;0,SUMIF(Landbrug!$B$32:$B$45,$B16,IF($R$4=År2,Landbrug!$D$32:$D$45,Landbrug!$E$32:$E$45)),'[1]Afgrødefordeling - jordtype'!$G14)*(Landbrug!$E$5)*Arealanvendelse!P$26</f>
        <v>6309.5248481700473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11437.918624561291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202.64130113199909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115.73747125009459</v>
      </c>
      <c r="I17" s="11">
        <f>IF(Landbrug!$E$47&gt;0,SUMIF(Landbrug!$B$32:$B$45,$B17,IF($I$4=År2,Landbrug!$D$32:$D$45,Landbrug!$E$32:$E$45)),'[1]Afgrødefordeling - jordtype'!$G15)*(1-Landbrug!$E$5)*Arealanvendelse!P$26</f>
        <v>0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1462.4695955911445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25.910023619174421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14.798368333413432</v>
      </c>
      <c r="R17" s="11">
        <f>IF(Landbrug!$E$47&gt;0,SUMIF(Landbrug!$B$32:$B$45,$B17,IF($R$4=År2,Landbrug!$D$32:$D$45,Landbrug!$E$32:$E$45)),'[1]Afgrødefordeling - jordtype'!$G15)*(Landbrug!$E$5)*Arealanvendelse!P$26</f>
        <v>11101.275121357427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31145.785633214087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332.81173876457098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273.20106069089286</v>
      </c>
      <c r="I18" s="11">
        <f>IF(Landbrug!$E$47&gt;0,SUMIF(Landbrug!$B$32:$B$45,$B18,IF($I$4=År2,Landbrug!$D$32:$D$45,Landbrug!$E$32:$E$45)),'[1]Afgrødefordeling - jordtype'!$G16)*(1-Landbrug!$E$5)*Arealanvendelse!P$26</f>
        <v>0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3982.3473146209913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42.553812889858399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34.931901323874534</v>
      </c>
      <c r="R18" s="11">
        <f>IF(Landbrug!$E$47&gt;0,SUMIF(Landbrug!$B$32:$B$45,$B18,IF($R$4=År2,Landbrug!$D$32:$D$45,Landbrug!$E$32:$E$45)),'[1]Afgrødefordeling - jordtype'!$G16)*(Landbrug!$E$5)*Arealanvendelse!P$26</f>
        <v>77429.401129434642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72877.440134040429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30452.01387923324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26486.154998052578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9318.2198526644916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3893.6406075896812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3386.5598856061138</v>
      </c>
      <c r="R19" s="11">
        <f>IF(Landbrug!$E$47&gt;0,SUMIF(Landbrug!$B$32:$B$45,$B19,IF($R$4=År2,Landbrug!$D$32:$D$45,Landbrug!$E$32:$E$45)),'[1]Afgrødefordeling - jordtype'!$G17)*(Landbrug!$E$5)*Arealanvendelse!P$26</f>
        <v>11054.327944788796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8725.0625185185199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6791.6965925925906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1507580.9484569482</v>
      </c>
      <c r="G20" s="37">
        <f t="shared" si="2"/>
        <v>59308.829256210913</v>
      </c>
      <c r="H20" s="37">
        <f t="shared" si="2"/>
        <v>46166.726337504639</v>
      </c>
      <c r="I20" s="37">
        <f t="shared" si="2"/>
        <v>0</v>
      </c>
      <c r="J20" s="37">
        <f t="shared" si="2"/>
        <v>0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192761.58297509421</v>
      </c>
      <c r="P20" s="37">
        <f t="shared" si="2"/>
        <v>7583.3167190977347</v>
      </c>
      <c r="Q20" s="37">
        <f t="shared" si="2"/>
        <v>5902.9475390385651</v>
      </c>
      <c r="R20" s="37">
        <f t="shared" si="2"/>
        <v>1463209.472447132</v>
      </c>
      <c r="S20" s="37">
        <f t="shared" si="2"/>
        <v>8725.0625185185199</v>
      </c>
      <c r="T20" s="38">
        <f t="shared" si="2"/>
        <v>6791.6965925925906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57" t="s">
        <v>7</v>
      </c>
      <c r="D22" s="458"/>
      <c r="E22" s="459"/>
      <c r="F22" s="463" t="s">
        <v>8</v>
      </c>
      <c r="G22" s="458"/>
      <c r="H22" s="459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7019935.8896729527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291855.95871414396</v>
      </c>
      <c r="H24" s="22">
        <f>($F24+$C24)*Landbrug!E11*Landbrug!E6</f>
        <v>1074244.3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791373.67349799909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140119.4403069797</v>
      </c>
      <c r="H25" s="22">
        <f>($F25+$C25)*Landbrug!E12*Landbrug!E7</f>
        <v>93364.229814031074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14365153.861353351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2379805.8031627773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5"/>
      <c r="B30" s="52"/>
      <c r="C30" s="460" t="s">
        <v>7</v>
      </c>
      <c r="D30" s="461"/>
      <c r="E30" s="461"/>
      <c r="F30" s="461"/>
      <c r="G30" s="461"/>
      <c r="H30" s="461"/>
      <c r="I30" s="461"/>
      <c r="J30" s="461"/>
      <c r="K30" s="462"/>
      <c r="L30" s="460" t="s">
        <v>8</v>
      </c>
      <c r="M30" s="461"/>
      <c r="N30" s="461"/>
      <c r="O30" s="461"/>
      <c r="P30" s="461"/>
      <c r="Q30" s="461"/>
      <c r="R30" s="461"/>
      <c r="S30" s="461"/>
      <c r="T30" s="462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170169.83214296759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2230.830510672768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1229.7001774151138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21758.172423217798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285.23736720509544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157.2313267993388</v>
      </c>
      <c r="R33" s="11">
        <f>IF(Landbrug!$E$47&gt;0,SUMIF(Landbrug!$B$32:$B$45,$B33,IF($R$31=År2,Landbrug!$D$32:$D$45,Landbrug!$E$32:$E$45)),'[1]Afgrødefordeling - jordtype'!$P4)*(Landbrug!$E$5)*Arealanvendelse!P$36</f>
        <v>27928.63175828362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37220.840874287176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60.325222950477325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22.335410277576099</v>
      </c>
      <c r="I34" s="11">
        <f>IF(Landbrug!$E$47&gt;0,SUMIF(Landbrug!$B$32:$B$45,$B34,IF($I$31=År2,Landbrug!$D$32:$D$45,Landbrug!$E$32:$E$45)),'[1]Afgrødefordeling - jordtype'!$P5)*(1-Landbrug!$E$5)*Arealanvendelse!P$36</f>
        <v>0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4759.1130771022581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7.7132743559551313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2.8558393802405542</v>
      </c>
      <c r="R34" s="11">
        <f>IF(Landbrug!$E$47&gt;0,SUMIF(Landbrug!$B$32:$B$45,$B34,IF($R$31=År2,Landbrug!$D$32:$D$45,Landbrug!$E$32:$E$45)),'[1]Afgrødefordeling - jordtype'!$P5)*(Landbrug!$E$5)*Arealanvendelse!P$36</f>
        <v>82743.509683987591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44203.968724622173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243.66299910145614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109.10325291425241</v>
      </c>
      <c r="I35" s="11">
        <f>IF(Landbrug!$E$47&gt;0,SUMIF(Landbrug!$B$32:$B$45,$B35,IF($I$31=År2,Landbrug!$D$32:$D$45,Landbrug!$E$32:$E$45)),'[1]Afgrødefordeling - jordtype'!$P6)*(1-Landbrug!$E$5)*Arealanvendelse!P$36</f>
        <v>0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5651.9863784833815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31.155120040041375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13.950107130903383</v>
      </c>
      <c r="R35" s="11">
        <f>IF(Landbrug!$E$47&gt;0,SUMIF(Landbrug!$B$32:$B$45,$B35,IF($R$31=År2,Landbrug!$D$32:$D$45,Landbrug!$E$32:$E$45)),'[1]Afgrødefordeling - jordtype'!$P6)*(Landbrug!$E$5)*Arealanvendelse!P$36</f>
        <v>73008.979132930224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87809.987150729692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716.47131301367313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801.75462298516175</v>
      </c>
      <c r="I36" s="11">
        <f>IF(Landbrug!$E$47&gt;0,SUMIF(Landbrug!$B$32:$B$45,$B36,IF($I$31=År2,Landbrug!$D$32:$D$45,Landbrug!$E$32:$E$45)),'[1]Afgrødefordeling - jordtype'!$P7)*(1-Landbrug!$E$5)*Arealanvendelse!P$36</f>
        <v>0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11227.517926332235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91.609107022821874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102.51356017891004</v>
      </c>
      <c r="R36" s="11">
        <f>IF(Landbrug!$E$47&gt;0,SUMIF(Landbrug!$B$32:$B$45,$B36,IF($R$31=År2,Landbrug!$D$32:$D$45,Landbrug!$E$32:$E$45)),'[1]Afgrødefordeling - jordtype'!$P7)*(Landbrug!$E$5)*Arealanvendelse!P$36</f>
        <v>170354.28464350387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3667.1259147389733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13.56919075168542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3.7735374359053933</v>
      </c>
      <c r="I37" s="11">
        <f>IF(Landbrug!$E$47&gt;0,SUMIF(Landbrug!$B$32:$B$45,$B37,IF($I$31=År2,Landbrug!$D$32:$D$45,Landbrug!$E$32:$E$45)),'[1]Afgrødefordeling - jordtype'!$P8)*(1-Landbrug!$E$5)*Arealanvendelse!P$36</f>
        <v>0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468.88427252784516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1.7349772771160648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0.48249021076142495</v>
      </c>
      <c r="R37" s="11">
        <f>IF(Landbrug!$E$47&gt;0,SUMIF(Landbrug!$B$32:$B$45,$B37,IF($R$31=År2,Landbrug!$D$32:$D$45,Landbrug!$E$32:$E$45)),'[1]Afgrødefordeling - jordtype'!$P8)*(Landbrug!$E$5)*Arealanvendelse!P$36</f>
        <v>6245.8042275715852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15424.272301499061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23.068866162854491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21.50871323094557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1972.1708131951523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2.9496201603926053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2.7501366440044395</v>
      </c>
      <c r="R38" s="11">
        <f>IF(Landbrug!$E$47&gt;0,SUMIF(Landbrug!$B$32:$B$45,$B38,IF($R$31=År2,Landbrug!$D$32:$D$45,Landbrug!$E$32:$E$45)),'[1]Afgrødefordeling - jordtype'!$P9)*(Landbrug!$E$5)*Arealanvendelse!P$36</f>
        <v>26270.432864254519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9485.9858570699034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64.449558610774517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24.769124387034655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1212.8925161595512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8.2406181588953551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3.1670177516097451</v>
      </c>
      <c r="R39" s="11">
        <f>IF(Landbrug!$E$47&gt;0,SUMIF(Landbrug!$B$32:$B$45,$B39,IF($R$31=År2,Landbrug!$D$32:$D$45,Landbrug!$E$32:$E$45)),'[1]Afgrødefordeling - jordtype'!$P10)*(Landbrug!$E$5)*Arealanvendelse!P$36</f>
        <v>16156.415663460722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23033.800359863864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68.713175144526659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25.441049088005123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2945.1365937226469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8.7857706252262986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3.2529310613605098</v>
      </c>
      <c r="R40" s="11">
        <f>IF(Landbrug!$E$47&gt;0,SUMIF(Landbrug!$B$32:$B$45,$B40,IF($R$31=År2,Landbrug!$D$32:$D$45,Landbrug!$E$32:$E$45)),'[1]Afgrødefordeling - jordtype'!$P11)*(Landbrug!$E$5)*Arealanvendelse!P$36</f>
        <v>3780.3558958910544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15325.573934702474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14.822844383576701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9.2319327042333263</v>
      </c>
      <c r="I41" s="11">
        <f>IF(Landbrug!$E$47&gt;0,SUMIF(Landbrug!$B$32:$B$45,$B41,IF($I$31=År2,Landbrug!$D$32:$D$45,Landbrug!$E$32:$E$45)),'[1]Afgrødefordeling - jordtype'!$P12)*(1-Landbrug!$E$5)*Arealanvendelse!P$36</f>
        <v>0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1959.5510905592043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1.8952713288770544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1.1804088953292959</v>
      </c>
      <c r="R41" s="11">
        <f>IF(Landbrug!$E$47&gt;0,SUMIF(Landbrug!$B$32:$B$45,$B41,IF($R$31=År2,Landbrug!$D$32:$D$45,Landbrug!$E$32:$E$45)),'[1]Afgrødefordeling - jordtype'!$P12)*(Landbrug!$E$5)*Arealanvendelse!P$36</f>
        <v>43559.860982137143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8854.1929158733292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105.84229815168821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65.920477103599382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1132.1105139843492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13.533156516950996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8.4286920247759696</v>
      </c>
      <c r="R42" s="11">
        <f>IF(Landbrug!$E$47&gt;0,SUMIF(Landbrug!$B$32:$B$45,$B42,IF($R$31=År2,Landbrug!$D$32:$D$45,Landbrug!$E$32:$E$45)),'[1]Afgrødefordeling - jordtype'!$P13)*(Landbrug!$E$5)*Arealanvendelse!P$36</f>
        <v>1453.1688158243799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12788.160503604195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768.41006535428994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616.89552694179065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1635.1135668949571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98.25007454710375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78.877196229672492</v>
      </c>
      <c r="R43" s="11">
        <f>IF(Landbrug!$E$47&gt;0,SUMIF(Landbrug!$B$32:$B$45,$B43,IF($R$31=År2,Landbrug!$D$32:$D$45,Landbrug!$E$32:$E$45)),'[1]Afgrødefordeling - jordtype'!$P14)*(Landbrug!$E$5)*Arealanvendelse!P$36</f>
        <v>2098.8198734951161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3516.3950575504314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23.227312797648128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14.466386011962104</v>
      </c>
      <c r="I44" s="11">
        <f>IF(Landbrug!$E$47&gt;0,SUMIF(Landbrug!$B$32:$B$45,$B44,IF($I$31=År2,Landbrug!$D$32:$D$45,Landbrug!$E$32:$E$45)),'[1]Afgrødefordeling - jordtype'!$P15)*(1-Landbrug!$E$5)*Arealanvendelse!P$36</f>
        <v>0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449.61159687842485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2.96987938705049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1.8496940217032787</v>
      </c>
      <c r="R44" s="11">
        <f>IF(Landbrug!$E$47&gt;0,SUMIF(Landbrug!$B$32:$B$45,$B44,IF($R$31=År2,Landbrug!$D$32:$D$45,Landbrug!$E$32:$E$45)),'[1]Afgrødefordeling - jordtype'!$P15)*(Landbrug!$E$5)*Arealanvendelse!P$36</f>
        <v>3692.7625148507746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9575.2461841246914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49.297032923373933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44.128542424612569</v>
      </c>
      <c r="I45" s="11">
        <f>IF(Landbrug!$E$47&gt;0,SUMIF(Landbrug!$B$32:$B$45,$B45,IF($I$31=År2,Landbrug!$D$32:$D$45,Landbrug!$E$32:$E$45)),'[1]Afgrødefordeling - jordtype'!$P16)*(1-Landbrug!$E$5)*Arealanvendelse!P$36</f>
        <v>0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1224.3054767422425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6.3031932792803271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5.6423422575473294</v>
      </c>
      <c r="R45" s="11">
        <f>IF(Landbrug!$E$47&gt;0,SUMIF(Landbrug!$B$32:$B$45,$B45,IF($R$31=År2,Landbrug!$D$32:$D$45,Landbrug!$E$32:$E$45)),'[1]Afgrødefordeling - jordtype'!$P16)*(Landbrug!$E$5)*Arealanvendelse!P$36</f>
        <v>25756.355635942306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22404.939107013139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4624.9645652760382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4022.6412881001361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2864.7294416587538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591.35497282505401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514.34100651696951</v>
      </c>
      <c r="R46" s="11">
        <f>IF(Landbrug!$E$47&gt;0,SUMIF(Landbrug!$B$32:$B$45,$B46,IF($R$31=År2,Landbrug!$D$32:$D$45,Landbrug!$E$32:$E$45)),'[1]Afgrødefordeling - jordtype'!$P17)*(Landbrug!$E$5)*Arealanvendelse!P$36</f>
        <v>3677.145860735322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1325.1374814814808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1031.5034074074065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463480.32102864666</v>
      </c>
      <c r="G47" s="37">
        <f t="shared" si="3"/>
        <v>9007.6549552948309</v>
      </c>
      <c r="H47" s="37">
        <f t="shared" si="3"/>
        <v>7011.6700410203284</v>
      </c>
      <c r="I47" s="37">
        <f t="shared" si="3"/>
        <v>0</v>
      </c>
      <c r="J47" s="37">
        <f t="shared" si="3"/>
        <v>0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59261.295687458798</v>
      </c>
      <c r="P47" s="37">
        <f t="shared" si="3"/>
        <v>1151.732402729861</v>
      </c>
      <c r="Q47" s="37">
        <f t="shared" si="3"/>
        <v>896.52274910312678</v>
      </c>
      <c r="R47" s="37">
        <f t="shared" si="3"/>
        <v>486726.52755286824</v>
      </c>
      <c r="S47" s="37">
        <f t="shared" si="3"/>
        <v>1325.1374814814808</v>
      </c>
      <c r="T47" s="38">
        <f t="shared" si="3"/>
        <v>1031.5034074074065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57" t="s">
        <v>7</v>
      </c>
      <c r="D49" s="458"/>
      <c r="E49" s="459"/>
      <c r="F49" s="463" t="s">
        <v>8</v>
      </c>
      <c r="G49" s="458"/>
      <c r="H49" s="459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203</v>
      </c>
      <c r="AG4" t="s">
        <v>202</v>
      </c>
      <c r="AH4" t="s">
        <v>207</v>
      </c>
      <c r="AI4" t="s">
        <v>237</v>
      </c>
      <c r="AJ4" t="s">
        <v>230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2856518.4611823363</v>
      </c>
      <c r="F5" s="214"/>
      <c r="G5" s="214">
        <v>15166.305497675694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9294338.1766717173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8258401.5311287995</v>
      </c>
      <c r="AB5" s="214">
        <v>11928483.043010753</v>
      </c>
      <c r="AC5" s="214"/>
      <c r="AD5" s="214"/>
      <c r="AE5" s="214"/>
      <c r="AF5" s="214"/>
      <c r="AG5" s="214"/>
      <c r="AH5" s="214">
        <v>20601831.015592366</v>
      </c>
      <c r="AI5" s="214"/>
      <c r="AJ5" s="214"/>
      <c r="AK5" s="214"/>
      <c r="AL5" s="214"/>
      <c r="AM5" s="214"/>
      <c r="AN5" s="214">
        <v>55346414.53308364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1507536.473164652</v>
      </c>
      <c r="F7" s="214"/>
      <c r="G7" s="214">
        <v>5243.8354838709674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4874560.7966637425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2747430.5145796794</v>
      </c>
      <c r="AB7" s="214">
        <v>9013613.7096774187</v>
      </c>
      <c r="AC7" s="214"/>
      <c r="AD7" s="214"/>
      <c r="AE7" s="214"/>
      <c r="AF7" s="214"/>
      <c r="AG7" s="214"/>
      <c r="AH7" s="214">
        <v>14141144.683440508</v>
      </c>
      <c r="AI7" s="214"/>
      <c r="AJ7" s="214"/>
      <c r="AK7" s="214"/>
      <c r="AL7" s="214"/>
      <c r="AM7" s="214"/>
      <c r="AN7" s="214">
        <v>32289530.013009869</v>
      </c>
    </row>
    <row r="8" spans="1:40" x14ac:dyDescent="0.25">
      <c r="A8" s="77">
        <v>2050</v>
      </c>
      <c r="B8" s="214"/>
      <c r="C8" s="214"/>
      <c r="D8" s="214">
        <v>0</v>
      </c>
      <c r="E8" s="214">
        <v>591894.98801768455</v>
      </c>
      <c r="F8" s="214"/>
      <c r="G8" s="214">
        <v>5480.9700138047265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66267.713341306167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2842137.0165491202</v>
      </c>
      <c r="AB8" s="214">
        <v>0</v>
      </c>
      <c r="AC8" s="214"/>
      <c r="AD8" s="214"/>
      <c r="AE8" s="214"/>
      <c r="AF8" s="214"/>
      <c r="AG8" s="214"/>
      <c r="AH8" s="214">
        <v>6460686.3321518581</v>
      </c>
      <c r="AI8" s="214"/>
      <c r="AJ8" s="214"/>
      <c r="AK8" s="214"/>
      <c r="AL8" s="214"/>
      <c r="AM8" s="214"/>
      <c r="AN8" s="214">
        <v>9966467.0200737733</v>
      </c>
    </row>
    <row r="9" spans="1:40" x14ac:dyDescent="0.25">
      <c r="A9" s="76" t="s">
        <v>112</v>
      </c>
      <c r="B9" s="214"/>
      <c r="C9" s="214">
        <v>123901.86377949464</v>
      </c>
      <c r="D9" s="214"/>
      <c r="E9" s="214"/>
      <c r="F9" s="214"/>
      <c r="G9" s="214"/>
      <c r="H9" s="214"/>
      <c r="I9" s="214"/>
      <c r="J9" s="214"/>
      <c r="K9" s="214">
        <v>23508657.792939946</v>
      </c>
      <c r="L9" s="214"/>
      <c r="M9" s="214">
        <v>1485101.5061347762</v>
      </c>
      <c r="N9" s="214"/>
      <c r="O9" s="214">
        <v>7611797.3149806987</v>
      </c>
      <c r="P9" s="214"/>
      <c r="Q9" s="214">
        <v>0</v>
      </c>
      <c r="R9" s="214">
        <v>9774805.7144666966</v>
      </c>
      <c r="S9" s="214"/>
      <c r="T9" s="214">
        <v>2389454.7415486719</v>
      </c>
      <c r="U9" s="214">
        <v>10862182.446177615</v>
      </c>
      <c r="V9" s="214"/>
      <c r="W9" s="214"/>
      <c r="X9" s="214"/>
      <c r="Y9" s="214">
        <v>1615886.8067909093</v>
      </c>
      <c r="Z9" s="214">
        <v>80368.572850433542</v>
      </c>
      <c r="AA9" s="214"/>
      <c r="AB9" s="214"/>
      <c r="AC9" s="214"/>
      <c r="AD9" s="214"/>
      <c r="AE9" s="214"/>
      <c r="AF9" s="214">
        <v>2843140.1252265768</v>
      </c>
      <c r="AG9" s="214">
        <v>8906210.9711787794</v>
      </c>
      <c r="AH9" s="214"/>
      <c r="AI9" s="214">
        <v>411285.3533791558</v>
      </c>
      <c r="AJ9" s="214"/>
      <c r="AK9" s="214"/>
      <c r="AL9" s="214"/>
      <c r="AM9" s="214"/>
      <c r="AN9" s="214">
        <v>69612793.209453747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45358.941062195336</v>
      </c>
      <c r="D11" s="214"/>
      <c r="E11" s="214"/>
      <c r="F11" s="214"/>
      <c r="G11" s="214"/>
      <c r="H11" s="214"/>
      <c r="I11" s="214"/>
      <c r="J11" s="214"/>
      <c r="K11" s="214">
        <v>8606229.0812590327</v>
      </c>
      <c r="L11" s="214"/>
      <c r="M11" s="214">
        <v>543677.3074538135</v>
      </c>
      <c r="N11" s="214"/>
      <c r="O11" s="214">
        <v>2190723.0495092547</v>
      </c>
      <c r="P11" s="214"/>
      <c r="Q11" s="214">
        <v>0</v>
      </c>
      <c r="R11" s="214">
        <v>3034307.7967753555</v>
      </c>
      <c r="S11" s="214"/>
      <c r="T11" s="214">
        <v>687700.0741687679</v>
      </c>
      <c r="U11" s="214">
        <v>3974704.3180609508</v>
      </c>
      <c r="V11" s="214"/>
      <c r="W11" s="214"/>
      <c r="X11" s="214"/>
      <c r="Y11" s="214">
        <v>591556.18968613085</v>
      </c>
      <c r="Z11" s="214">
        <v>31087.701331546228</v>
      </c>
      <c r="AA11" s="214"/>
      <c r="AB11" s="214"/>
      <c r="AC11" s="214"/>
      <c r="AD11" s="214"/>
      <c r="AE11" s="214"/>
      <c r="AF11" s="214">
        <v>2059162.7651662568</v>
      </c>
      <c r="AG11" s="214">
        <v>6450381.339929576</v>
      </c>
      <c r="AH11" s="214"/>
      <c r="AI11" s="214">
        <v>150566.48491478726</v>
      </c>
      <c r="AJ11" s="214"/>
      <c r="AK11" s="214"/>
      <c r="AL11" s="214"/>
      <c r="AM11" s="214"/>
      <c r="AN11" s="214">
        <v>28365455.049317665</v>
      </c>
    </row>
    <row r="12" spans="1:40" x14ac:dyDescent="0.25">
      <c r="A12" s="77">
        <v>2050</v>
      </c>
      <c r="B12" s="214"/>
      <c r="C12" s="214">
        <v>6127.8304883672272</v>
      </c>
      <c r="D12" s="214"/>
      <c r="E12" s="214"/>
      <c r="F12" s="214"/>
      <c r="G12" s="214"/>
      <c r="H12" s="214"/>
      <c r="I12" s="214"/>
      <c r="J12" s="214"/>
      <c r="K12" s="214">
        <v>1162670.7264108984</v>
      </c>
      <c r="L12" s="214"/>
      <c r="M12" s="214">
        <v>73448.857103623857</v>
      </c>
      <c r="N12" s="214"/>
      <c r="O12" s="214">
        <v>0</v>
      </c>
      <c r="P12" s="214"/>
      <c r="Q12" s="214">
        <v>0</v>
      </c>
      <c r="R12" s="214">
        <v>139661.10799021259</v>
      </c>
      <c r="S12" s="214"/>
      <c r="T12" s="214">
        <v>0</v>
      </c>
      <c r="U12" s="214">
        <v>536071.08053741162</v>
      </c>
      <c r="V12" s="214"/>
      <c r="W12" s="214"/>
      <c r="X12" s="214"/>
      <c r="Y12" s="214">
        <v>79917.122619122587</v>
      </c>
      <c r="Z12" s="214">
        <v>5027.2040456510467</v>
      </c>
      <c r="AA12" s="214"/>
      <c r="AB12" s="214"/>
      <c r="AC12" s="214"/>
      <c r="AD12" s="214"/>
      <c r="AE12" s="214"/>
      <c r="AF12" s="214">
        <v>783977.36006031989</v>
      </c>
      <c r="AG12" s="214">
        <v>2455829.6312492033</v>
      </c>
      <c r="AH12" s="214"/>
      <c r="AI12" s="214">
        <v>20340.992871107879</v>
      </c>
      <c r="AJ12" s="214"/>
      <c r="AK12" s="214"/>
      <c r="AL12" s="214"/>
      <c r="AM12" s="214"/>
      <c r="AN12" s="214">
        <v>5263071.9133759178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4470018.5200473322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3133161.2967343521</v>
      </c>
      <c r="AE17" s="214">
        <v>8630115.4022918455</v>
      </c>
      <c r="AF17" s="214"/>
      <c r="AG17" s="214"/>
      <c r="AH17" s="214"/>
      <c r="AI17" s="214"/>
      <c r="AJ17" s="214">
        <v>697661.88856047369</v>
      </c>
      <c r="AK17" s="214"/>
      <c r="AL17" s="214"/>
      <c r="AM17" s="214"/>
      <c r="AN17" s="214">
        <v>20613077.894486349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1777506.2835526129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1169664.3920535347</v>
      </c>
      <c r="AE19" s="214">
        <v>2858758.2285455461</v>
      </c>
      <c r="AF19" s="214"/>
      <c r="AG19" s="214"/>
      <c r="AH19" s="214"/>
      <c r="AI19" s="214"/>
      <c r="AJ19" s="214">
        <v>307900.58179541014</v>
      </c>
      <c r="AK19" s="214"/>
      <c r="AL19" s="214"/>
      <c r="AM19" s="214"/>
      <c r="AN19" s="214">
        <v>7460633.4576898487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797017.71721988893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1753629.766003873</v>
      </c>
      <c r="AE20" s="214">
        <v>2761065.1089266455</v>
      </c>
      <c r="AF20" s="214"/>
      <c r="AG20" s="214"/>
      <c r="AH20" s="214"/>
      <c r="AI20" s="214"/>
      <c r="AJ20" s="214">
        <v>276887.98874079209</v>
      </c>
      <c r="AK20" s="214"/>
      <c r="AL20" s="214"/>
      <c r="AM20" s="214"/>
      <c r="AN20" s="214">
        <v>6941186.3960007997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2431597.7026758408</v>
      </c>
      <c r="AN21" s="214">
        <v>2535788.4577751681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789510.6267450063</v>
      </c>
      <c r="AN23" s="214">
        <v>789510.6267450063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814379.14075048931</v>
      </c>
      <c r="AN24" s="214">
        <v>814379.14075048931</v>
      </c>
    </row>
    <row r="25" spans="1:40" x14ac:dyDescent="0.25">
      <c r="A25" s="76" t="s">
        <v>114</v>
      </c>
      <c r="B25" s="214"/>
      <c r="C25" s="214"/>
      <c r="D25" s="214"/>
      <c r="E25" s="214">
        <v>1038898.908411204</v>
      </c>
      <c r="F25" s="214"/>
      <c r="G25" s="214">
        <v>6798.4418294908473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11328707.011481393</v>
      </c>
      <c r="T25" s="214"/>
      <c r="U25" s="214"/>
      <c r="V25" s="214"/>
      <c r="W25" s="214"/>
      <c r="X25" s="214"/>
      <c r="Y25" s="214"/>
      <c r="Z25" s="214"/>
      <c r="AA25" s="214"/>
      <c r="AB25" s="214">
        <v>17746668.56989247</v>
      </c>
      <c r="AC25" s="214"/>
      <c r="AD25" s="214"/>
      <c r="AE25" s="214"/>
      <c r="AF25" s="214"/>
      <c r="AG25" s="214"/>
      <c r="AH25" s="214"/>
      <c r="AI25" s="214"/>
      <c r="AJ25" s="214"/>
      <c r="AK25" s="214">
        <v>33812020.476325519</v>
      </c>
      <c r="AL25" s="214">
        <v>3294668.7272872385</v>
      </c>
      <c r="AM25" s="214"/>
      <c r="AN25" s="214">
        <v>67227762.135227323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190236.74542315846</v>
      </c>
      <c r="F27" s="214"/>
      <c r="G27" s="214">
        <v>1747.9451612903224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1624853.5988879143</v>
      </c>
      <c r="T27" s="214"/>
      <c r="U27" s="214"/>
      <c r="V27" s="214"/>
      <c r="W27" s="214"/>
      <c r="X27" s="214"/>
      <c r="Y27" s="214"/>
      <c r="Z27" s="214"/>
      <c r="AA27" s="214"/>
      <c r="AB27" s="214">
        <v>3004537.9032258061</v>
      </c>
      <c r="AC27" s="214"/>
      <c r="AD27" s="214"/>
      <c r="AE27" s="214"/>
      <c r="AF27" s="214"/>
      <c r="AG27" s="214"/>
      <c r="AH27" s="214"/>
      <c r="AI27" s="214"/>
      <c r="AJ27" s="214"/>
      <c r="AK27" s="214">
        <v>24782928.313565489</v>
      </c>
      <c r="AL27" s="214">
        <v>929861.9407340826</v>
      </c>
      <c r="AM27" s="214"/>
      <c r="AN27" s="214">
        <v>30534166.446997739</v>
      </c>
    </row>
    <row r="28" spans="1:40" x14ac:dyDescent="0.25">
      <c r="A28" s="77">
        <v>2050</v>
      </c>
      <c r="B28" s="214"/>
      <c r="C28" s="214"/>
      <c r="D28" s="214"/>
      <c r="E28" s="214">
        <v>24897.170130902599</v>
      </c>
      <c r="F28" s="214"/>
      <c r="G28" s="214">
        <v>608.99666820052505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7363.0792601451285</v>
      </c>
      <c r="T28" s="214"/>
      <c r="U28" s="214"/>
      <c r="V28" s="214"/>
      <c r="W28" s="214"/>
      <c r="X28" s="214"/>
      <c r="Y28" s="214"/>
      <c r="Z28" s="214"/>
      <c r="AA28" s="214"/>
      <c r="AB28" s="214">
        <v>0</v>
      </c>
      <c r="AC28" s="214"/>
      <c r="AD28" s="214"/>
      <c r="AE28" s="214"/>
      <c r="AF28" s="214"/>
      <c r="AG28" s="214"/>
      <c r="AH28" s="214"/>
      <c r="AI28" s="214"/>
      <c r="AJ28" s="214"/>
      <c r="AK28" s="214">
        <v>225600.4272515444</v>
      </c>
      <c r="AL28" s="214">
        <v>1419989.4954988556</v>
      </c>
      <c r="AM28" s="214"/>
      <c r="AN28" s="214">
        <v>1678459.1688096481</v>
      </c>
    </row>
    <row r="29" spans="1:40" x14ac:dyDescent="0.25">
      <c r="A29" s="76" t="s">
        <v>208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53275927.623525158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53275927.623525158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38585437.794175856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38585437.794175856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14690489.829349302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14690489.829349302</v>
      </c>
    </row>
    <row r="33" spans="1:40" x14ac:dyDescent="0.25">
      <c r="A33" s="76" t="s">
        <v>236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2505789.5114368787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2505789.5114368787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962189.31811065669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962189.31811065669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865274.96481497539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865274.96481497539</v>
      </c>
    </row>
    <row r="37" spans="1:40" x14ac:dyDescent="0.25">
      <c r="A37" s="76" t="s">
        <v>61</v>
      </c>
      <c r="B37" s="214">
        <v>182574.19618217932</v>
      </c>
      <c r="C37" s="214">
        <v>123901.86377949464</v>
      </c>
      <c r="D37" s="214">
        <v>1462905.7868523435</v>
      </c>
      <c r="E37" s="214">
        <v>3895417.3695935407</v>
      </c>
      <c r="F37" s="214">
        <v>281468.55244752642</v>
      </c>
      <c r="G37" s="214">
        <v>21964.74732716654</v>
      </c>
      <c r="H37" s="214">
        <v>197788.71253069426</v>
      </c>
      <c r="I37" s="214">
        <v>1445379.0531089196</v>
      </c>
      <c r="J37" s="214">
        <v>142742</v>
      </c>
      <c r="K37" s="214">
        <v>76870262.416465104</v>
      </c>
      <c r="L37" s="214">
        <v>1513844.376677237</v>
      </c>
      <c r="M37" s="214">
        <v>6031054.0261821086</v>
      </c>
      <c r="N37" s="214">
        <v>2948427</v>
      </c>
      <c r="O37" s="214">
        <v>7611797.3149806987</v>
      </c>
      <c r="P37" s="214">
        <v>995654</v>
      </c>
      <c r="Q37" s="214">
        <v>692260.49385742994</v>
      </c>
      <c r="R37" s="214">
        <v>11436973.996454826</v>
      </c>
      <c r="S37" s="214">
        <v>20623045.188153107</v>
      </c>
      <c r="T37" s="214">
        <v>2389454.7415486719</v>
      </c>
      <c r="U37" s="214">
        <v>11192208.446177615</v>
      </c>
      <c r="V37" s="214">
        <v>2647325.8446415998</v>
      </c>
      <c r="W37" s="214">
        <v>336392.95646566537</v>
      </c>
      <c r="X37" s="214">
        <v>2505789.5114368787</v>
      </c>
      <c r="Y37" s="214">
        <v>1644531.8067909093</v>
      </c>
      <c r="Z37" s="214">
        <v>80368.572850433542</v>
      </c>
      <c r="AA37" s="214">
        <v>8258401.5311287995</v>
      </c>
      <c r="AB37" s="214">
        <v>29675151.612903222</v>
      </c>
      <c r="AC37" s="214">
        <v>682979.63888483576</v>
      </c>
      <c r="AD37" s="214">
        <v>3133161.2967343521</v>
      </c>
      <c r="AE37" s="214">
        <v>8630115.4022918455</v>
      </c>
      <c r="AF37" s="214">
        <v>2843140.1252265768</v>
      </c>
      <c r="AG37" s="214">
        <v>8906210.9711787794</v>
      </c>
      <c r="AH37" s="214">
        <v>20601831.015592366</v>
      </c>
      <c r="AI37" s="214">
        <v>411285.3533791558</v>
      </c>
      <c r="AJ37" s="214">
        <v>801852.64365980122</v>
      </c>
      <c r="AK37" s="214">
        <v>33812020.476325519</v>
      </c>
      <c r="AL37" s="214">
        <v>3294668.7272872385</v>
      </c>
      <c r="AM37" s="214">
        <v>2431597.7026758408</v>
      </c>
      <c r="AN37" s="214">
        <v>280755949.47177249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7.7109375" bestFit="1" customWidth="1"/>
    <col min="8" max="8" width="14.5703125" bestFit="1" customWidth="1"/>
    <col min="9" max="12" width="11.28515625" bestFit="1" customWidth="1"/>
    <col min="13" max="13" width="7.7109375" bestFit="1" customWidth="1"/>
    <col min="14" max="14" width="14.5703125" bestFit="1" customWidth="1"/>
    <col min="15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5" t="s">
        <v>277</v>
      </c>
      <c r="B2" s="76">
        <v>1</v>
      </c>
    </row>
    <row r="4" spans="1:9" x14ac:dyDescent="0.25">
      <c r="A4" s="75" t="s">
        <v>304</v>
      </c>
      <c r="B4" s="75" t="s">
        <v>62</v>
      </c>
    </row>
    <row r="5" spans="1:9" x14ac:dyDescent="0.25">
      <c r="A5" s="75" t="s">
        <v>60</v>
      </c>
      <c r="B5" t="s">
        <v>102</v>
      </c>
      <c r="C5" t="s">
        <v>51</v>
      </c>
      <c r="D5" t="s">
        <v>103</v>
      </c>
      <c r="E5" t="s">
        <v>115</v>
      </c>
      <c r="F5" t="s">
        <v>158</v>
      </c>
      <c r="G5" t="s">
        <v>54</v>
      </c>
      <c r="H5" t="s">
        <v>159</v>
      </c>
      <c r="I5" t="s">
        <v>61</v>
      </c>
    </row>
    <row r="6" spans="1:9" x14ac:dyDescent="0.25">
      <c r="A6" s="76">
        <v>2019</v>
      </c>
      <c r="B6" s="74">
        <v>370459.67448149773</v>
      </c>
      <c r="C6" s="74">
        <v>0</v>
      </c>
      <c r="D6" s="74">
        <v>282332.03034110228</v>
      </c>
      <c r="E6" s="74">
        <v>944817.29105430027</v>
      </c>
      <c r="F6" s="74">
        <v>142742</v>
      </c>
      <c r="G6" s="74">
        <v>207824.63776728272</v>
      </c>
      <c r="H6" s="74">
        <v>5421074.2654714445</v>
      </c>
      <c r="I6" s="74">
        <v>7369249.8991156276</v>
      </c>
    </row>
    <row r="7" spans="1:9" x14ac:dyDescent="0.25">
      <c r="A7" s="76">
        <v>2030</v>
      </c>
      <c r="B7" s="74">
        <v>0</v>
      </c>
      <c r="C7" s="74">
        <v>17388773.623687528</v>
      </c>
      <c r="D7" s="74">
        <v>0</v>
      </c>
      <c r="E7" s="74">
        <v>929861.9407340826</v>
      </c>
      <c r="F7" s="74">
        <v>0</v>
      </c>
      <c r="G7" s="74">
        <v>0</v>
      </c>
      <c r="H7" s="74">
        <v>2190723.0495092547</v>
      </c>
      <c r="I7" s="74">
        <v>20509358.613930866</v>
      </c>
    </row>
    <row r="8" spans="1:9" x14ac:dyDescent="0.25">
      <c r="A8" s="76">
        <v>2050</v>
      </c>
      <c r="B8" s="74">
        <v>0</v>
      </c>
      <c r="C8" s="74">
        <v>0</v>
      </c>
      <c r="D8" s="74">
        <v>0</v>
      </c>
      <c r="E8" s="74">
        <v>1419989.4954988556</v>
      </c>
      <c r="F8" s="74">
        <v>0</v>
      </c>
      <c r="G8" s="74">
        <v>0</v>
      </c>
      <c r="H8" s="74">
        <v>0</v>
      </c>
      <c r="I8" s="74">
        <v>1419989.4954988556</v>
      </c>
    </row>
    <row r="9" spans="1:9" x14ac:dyDescent="0.25">
      <c r="A9" s="76" t="s">
        <v>61</v>
      </c>
      <c r="B9" s="74">
        <v>370459.67448149773</v>
      </c>
      <c r="C9" s="74">
        <v>17388773.623687528</v>
      </c>
      <c r="D9" s="74">
        <v>282332.03034110228</v>
      </c>
      <c r="E9" s="74">
        <v>3294668.7272872385</v>
      </c>
      <c r="F9" s="74">
        <v>142742</v>
      </c>
      <c r="G9" s="74">
        <v>207824.63776728272</v>
      </c>
      <c r="H9" s="74">
        <v>7611797.3149806987</v>
      </c>
      <c r="I9" s="74">
        <v>29298598.00854535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K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11" bestFit="1" customWidth="1"/>
    <col min="4" max="7" width="9.85546875" bestFit="1" customWidth="1"/>
    <col min="8" max="8" width="20.7109375" bestFit="1" customWidth="1"/>
    <col min="9" max="9" width="5.140625" bestFit="1" customWidth="1"/>
    <col min="10" max="10" width="9.28515625" bestFit="1" customWidth="1"/>
    <col min="11" max="12" width="11.2851562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9" width="9.85546875" bestFit="1" customWidth="1"/>
    <col min="30" max="30" width="9.28515625" bestFit="1" customWidth="1"/>
    <col min="31" max="31" width="12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5" t="s">
        <v>299</v>
      </c>
      <c r="B2" s="76">
        <v>1</v>
      </c>
    </row>
    <row r="4" spans="1:11" x14ac:dyDescent="0.25">
      <c r="A4" s="75" t="s">
        <v>251</v>
      </c>
      <c r="B4" s="75" t="s">
        <v>62</v>
      </c>
    </row>
    <row r="5" spans="1:11" x14ac:dyDescent="0.25">
      <c r="A5" s="75" t="s">
        <v>60</v>
      </c>
      <c r="B5" t="s">
        <v>49</v>
      </c>
      <c r="C5" t="s">
        <v>51</v>
      </c>
      <c r="D5" t="s">
        <v>12</v>
      </c>
      <c r="E5" t="s">
        <v>48</v>
      </c>
      <c r="F5" t="s">
        <v>53</v>
      </c>
      <c r="G5" t="s">
        <v>52</v>
      </c>
      <c r="H5" t="s">
        <v>107</v>
      </c>
      <c r="I5" t="s">
        <v>99</v>
      </c>
      <c r="J5" t="s">
        <v>237</v>
      </c>
      <c r="K5" t="s">
        <v>61</v>
      </c>
    </row>
    <row r="6" spans="1:11" x14ac:dyDescent="0.25">
      <c r="A6" s="76">
        <v>2019</v>
      </c>
      <c r="B6" s="94">
        <v>212954.7645341866</v>
      </c>
      <c r="C6" s="94">
        <v>4087571.5535632996</v>
      </c>
      <c r="D6" s="94">
        <v>2143653.1237064754</v>
      </c>
      <c r="E6" s="94">
        <v>2221133.1346202949</v>
      </c>
      <c r="F6" s="94">
        <v>1274488.0820395502</v>
      </c>
      <c r="G6" s="94">
        <v>1637775.5474174484</v>
      </c>
      <c r="H6" s="94">
        <v>105946.31157195524</v>
      </c>
      <c r="I6" s="94">
        <v>76.5</v>
      </c>
      <c r="J6" s="94">
        <v>98784.738662362797</v>
      </c>
      <c r="K6" s="94">
        <v>11782383.756115573</v>
      </c>
    </row>
    <row r="7" spans="1:11" x14ac:dyDescent="0.25">
      <c r="A7" s="76">
        <v>2030</v>
      </c>
      <c r="B7" s="94">
        <v>666209.0402789081</v>
      </c>
      <c r="C7" s="94"/>
      <c r="D7" s="94">
        <v>3294694.3063373538</v>
      </c>
      <c r="E7" s="94">
        <v>3090697.3911728235</v>
      </c>
      <c r="F7" s="94">
        <v>1420630.6538615585</v>
      </c>
      <c r="G7" s="94">
        <v>3198414.763821953</v>
      </c>
      <c r="H7" s="94">
        <v>72135.636637464821</v>
      </c>
      <c r="I7" s="94">
        <v>76.5</v>
      </c>
      <c r="J7" s="94">
        <v>330528.17414054112</v>
      </c>
      <c r="K7" s="94">
        <v>12073386.4662506</v>
      </c>
    </row>
    <row r="8" spans="1:11" x14ac:dyDescent="0.25">
      <c r="A8" s="76">
        <v>2050</v>
      </c>
      <c r="B8" s="94">
        <v>885448.63284387637</v>
      </c>
      <c r="C8" s="94">
        <v>29988992.560891584</v>
      </c>
      <c r="D8" s="94">
        <v>3114555.2534101894</v>
      </c>
      <c r="E8" s="94">
        <v>502738.07074813894</v>
      </c>
      <c r="F8" s="94">
        <v>147889.18295936866</v>
      </c>
      <c r="G8" s="94">
        <v>3584675.3397181388</v>
      </c>
      <c r="H8" s="94">
        <v>241.59506154239193</v>
      </c>
      <c r="I8" s="94">
        <v>76.5</v>
      </c>
      <c r="J8" s="94">
        <v>412296.48953637981</v>
      </c>
      <c r="K8" s="94">
        <v>38636913.625169218</v>
      </c>
    </row>
    <row r="9" spans="1:11" x14ac:dyDescent="0.25">
      <c r="A9" s="76" t="s">
        <v>61</v>
      </c>
      <c r="B9" s="94">
        <v>1764612.4376569712</v>
      </c>
      <c r="C9" s="94">
        <v>34076564.11445488</v>
      </c>
      <c r="D9" s="94">
        <v>8552902.6834540181</v>
      </c>
      <c r="E9" s="94">
        <v>5814568.5965412576</v>
      </c>
      <c r="F9" s="94">
        <v>2843007.9188604774</v>
      </c>
      <c r="G9" s="94">
        <v>8420865.6509575397</v>
      </c>
      <c r="H9" s="94">
        <v>178323.54327096246</v>
      </c>
      <c r="I9" s="94">
        <v>229.5</v>
      </c>
      <c r="J9" s="94">
        <v>841609.40233928373</v>
      </c>
      <c r="K9" s="94">
        <v>62492683.847535387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229</v>
      </c>
      <c r="C4" t="s">
        <v>158</v>
      </c>
      <c r="D4" t="s">
        <v>223</v>
      </c>
      <c r="E4" t="s">
        <v>226</v>
      </c>
      <c r="F4" t="s">
        <v>225</v>
      </c>
      <c r="G4" t="s">
        <v>221</v>
      </c>
      <c r="H4" t="s">
        <v>311</v>
      </c>
      <c r="I4" t="s">
        <v>230</v>
      </c>
      <c r="J4" t="s">
        <v>224</v>
      </c>
      <c r="K4" t="s">
        <v>61</v>
      </c>
    </row>
    <row r="5" spans="1:11" x14ac:dyDescent="0.25">
      <c r="A5" s="76" t="s">
        <v>284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31.617985245409482</v>
      </c>
      <c r="C7" s="212">
        <v>0</v>
      </c>
      <c r="D7" s="212">
        <v>13.780689652966331</v>
      </c>
      <c r="E7" s="212">
        <v>28.957166580526422</v>
      </c>
      <c r="F7" s="212">
        <v>8.5854849999999995E-4</v>
      </c>
      <c r="G7" s="212">
        <v>0.67264123809073706</v>
      </c>
      <c r="H7" s="212">
        <v>0</v>
      </c>
      <c r="I7" s="212">
        <v>10.776520362839355</v>
      </c>
      <c r="J7" s="212">
        <v>62.955434169868305</v>
      </c>
      <c r="K7" s="212">
        <v>148.76129579820062</v>
      </c>
    </row>
    <row r="8" spans="1:11" x14ac:dyDescent="0.25">
      <c r="A8" s="77">
        <v>2050</v>
      </c>
      <c r="B8" s="212">
        <v>28.548635883895898</v>
      </c>
      <c r="C8" s="212">
        <v>0</v>
      </c>
      <c r="D8" s="212">
        <v>65.435872113803157</v>
      </c>
      <c r="E8" s="212">
        <v>9.959628283026202</v>
      </c>
      <c r="F8" s="212">
        <v>8.5854849999999995E-4</v>
      </c>
      <c r="G8" s="212">
        <v>8.803169600360175E-2</v>
      </c>
      <c r="H8" s="212">
        <v>0</v>
      </c>
      <c r="I8" s="212">
        <v>9.6910796059277224</v>
      </c>
      <c r="J8" s="212">
        <v>72.284475090226309</v>
      </c>
      <c r="K8" s="212">
        <v>186.00858122138288</v>
      </c>
    </row>
    <row r="9" spans="1:11" x14ac:dyDescent="0.25">
      <c r="A9" s="76" t="s">
        <v>242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9.4035342390445855</v>
      </c>
      <c r="C11" s="212">
        <v>0</v>
      </c>
      <c r="D11" s="212">
        <v>0</v>
      </c>
      <c r="E11" s="212">
        <v>0</v>
      </c>
      <c r="F11" s="212">
        <v>0</v>
      </c>
      <c r="G11" s="212">
        <v>9.6002184023786228</v>
      </c>
      <c r="H11" s="212">
        <v>0</v>
      </c>
      <c r="I11" s="212">
        <v>0</v>
      </c>
      <c r="J11" s="212">
        <v>0</v>
      </c>
      <c r="K11" s="212">
        <v>19.003752641423208</v>
      </c>
    </row>
    <row r="12" spans="1:11" x14ac:dyDescent="0.25">
      <c r="A12" s="77">
        <v>2050</v>
      </c>
      <c r="B12" s="212">
        <v>5.0880931042150337</v>
      </c>
      <c r="C12" s="212">
        <v>0</v>
      </c>
      <c r="D12" s="212">
        <v>0</v>
      </c>
      <c r="E12" s="212">
        <v>0</v>
      </c>
      <c r="F12" s="212">
        <v>0</v>
      </c>
      <c r="G12" s="212">
        <v>1.3110635033941205</v>
      </c>
      <c r="H12" s="212">
        <v>0</v>
      </c>
      <c r="I12" s="212">
        <v>0</v>
      </c>
      <c r="J12" s="212">
        <v>0</v>
      </c>
      <c r="K12" s="212">
        <v>6.3991566076091537</v>
      </c>
    </row>
    <row r="13" spans="1:11" x14ac:dyDescent="0.25">
      <c r="A13" s="76" t="s">
        <v>285</v>
      </c>
      <c r="B13" s="212">
        <v>77.710551653807684</v>
      </c>
      <c r="C13" s="212">
        <v>0</v>
      </c>
      <c r="D13" s="212">
        <v>79.216561766769487</v>
      </c>
      <c r="E13" s="212">
        <v>58.508259131667856</v>
      </c>
      <c r="F13" s="212">
        <v>1.7170969999999999E-3</v>
      </c>
      <c r="G13" s="212">
        <v>0.76067293409433878</v>
      </c>
      <c r="H13" s="212">
        <v>0</v>
      </c>
      <c r="I13" s="212">
        <v>24.418166099616577</v>
      </c>
      <c r="J13" s="212">
        <v>182.73134006467126</v>
      </c>
      <c r="K13" s="212">
        <v>423.3472687476272</v>
      </c>
    </row>
    <row r="14" spans="1:11" x14ac:dyDescent="0.25">
      <c r="A14" s="76" t="s">
        <v>243</v>
      </c>
      <c r="B14" s="212">
        <v>21.974782047466618</v>
      </c>
      <c r="C14" s="212">
        <v>2.1694819870080004</v>
      </c>
      <c r="D14" s="212">
        <v>1.420171986175</v>
      </c>
      <c r="E14" s="212">
        <v>0.45076703431999982</v>
      </c>
      <c r="F14" s="212">
        <v>0</v>
      </c>
      <c r="G14" s="212">
        <v>16.003564863777747</v>
      </c>
      <c r="H14" s="212">
        <v>0</v>
      </c>
      <c r="I14" s="212">
        <v>0</v>
      </c>
      <c r="J14" s="212">
        <v>0</v>
      </c>
      <c r="K14" s="212">
        <v>42.018767918747372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238</v>
      </c>
      <c r="B1" s="75" t="s">
        <v>62</v>
      </c>
    </row>
    <row r="2" spans="1:9" x14ac:dyDescent="0.25">
      <c r="A2" s="75" t="s">
        <v>60</v>
      </c>
      <c r="B2" t="s">
        <v>229</v>
      </c>
      <c r="C2" t="s">
        <v>158</v>
      </c>
      <c r="D2" t="s">
        <v>223</v>
      </c>
      <c r="E2" t="s">
        <v>226</v>
      </c>
      <c r="F2" t="s">
        <v>225</v>
      </c>
      <c r="G2" t="s">
        <v>221</v>
      </c>
      <c r="H2" t="s">
        <v>224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1894871.7628830811</v>
      </c>
      <c r="C4" s="213">
        <v>0</v>
      </c>
      <c r="D4" s="213">
        <v>1065872.1489228583</v>
      </c>
      <c r="E4" s="213">
        <v>2468996.5322832959</v>
      </c>
      <c r="F4" s="213">
        <v>143.48999999999998</v>
      </c>
      <c r="G4" s="213">
        <v>1367421.2333047125</v>
      </c>
      <c r="H4" s="213">
        <v>1899304.8965703682</v>
      </c>
      <c r="I4" s="213">
        <v>8696610.0639643166</v>
      </c>
    </row>
    <row r="5" spans="1:9" x14ac:dyDescent="0.25">
      <c r="A5" s="76">
        <v>2050</v>
      </c>
      <c r="B5" s="213">
        <v>1317149.5521577739</v>
      </c>
      <c r="C5" s="213">
        <v>0</v>
      </c>
      <c r="D5" s="213">
        <v>9158219.7398810834</v>
      </c>
      <c r="E5" s="213">
        <v>833313.86156882858</v>
      </c>
      <c r="F5" s="213">
        <v>143.49</v>
      </c>
      <c r="G5" s="213">
        <v>195210.82562476638</v>
      </c>
      <c r="H5" s="213">
        <v>2093333.1380149107</v>
      </c>
      <c r="I5" s="213">
        <v>13597370.607247364</v>
      </c>
    </row>
    <row r="6" spans="1:9" x14ac:dyDescent="0.25">
      <c r="A6" s="76" t="s">
        <v>61</v>
      </c>
      <c r="B6" s="213">
        <v>4289326.2550408551</v>
      </c>
      <c r="C6" s="213">
        <v>128467.8</v>
      </c>
      <c r="D6" s="213">
        <v>10352818.248803942</v>
      </c>
      <c r="E6" s="213">
        <v>4979198.2952357307</v>
      </c>
      <c r="F6" s="213">
        <v>286.98</v>
      </c>
      <c r="G6" s="213">
        <v>2266648.1747628124</v>
      </c>
      <c r="H6" s="213">
        <v>5568573.1808615979</v>
      </c>
      <c r="I6" s="213">
        <v>27585318.934704937</v>
      </c>
    </row>
  </sheetData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197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199</v>
      </c>
      <c r="D2" t="s">
        <v>192</v>
      </c>
      <c r="E2" t="s">
        <v>193</v>
      </c>
      <c r="F2" t="s">
        <v>10</v>
      </c>
      <c r="G2" t="s">
        <v>260</v>
      </c>
      <c r="H2" t="s">
        <v>309</v>
      </c>
      <c r="I2" t="s">
        <v>330</v>
      </c>
      <c r="J2" t="s">
        <v>61</v>
      </c>
    </row>
    <row r="3" spans="1:10" x14ac:dyDescent="0.25">
      <c r="A3" s="76">
        <v>2019</v>
      </c>
      <c r="B3" s="94">
        <v>15057851.655114504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-121290.05206481964</v>
      </c>
      <c r="J3" s="94">
        <v>30115703.310229003</v>
      </c>
    </row>
    <row r="4" spans="1:10" x14ac:dyDescent="0.25">
      <c r="A4" s="76">
        <v>2030</v>
      </c>
      <c r="B4" s="94">
        <v>8945385.1499703117</v>
      </c>
      <c r="C4" s="94">
        <v>-158.43719999999996</v>
      </c>
      <c r="D4" s="94">
        <v>4155505.2570030689</v>
      </c>
      <c r="E4" s="94">
        <v>7429743.4773556339</v>
      </c>
      <c r="F4" s="94">
        <v>-2258932.8950806139</v>
      </c>
      <c r="G4" s="94">
        <v>-258162.22548621177</v>
      </c>
      <c r="H4" s="94">
        <v>0</v>
      </c>
      <c r="I4" s="94">
        <v>-122610.02662156825</v>
      </c>
      <c r="J4" s="94">
        <v>17890770.29994062</v>
      </c>
    </row>
    <row r="5" spans="1:10" x14ac:dyDescent="0.25">
      <c r="A5" s="76">
        <v>2050</v>
      </c>
      <c r="B5" s="94">
        <v>116232.40411250692</v>
      </c>
      <c r="C5" s="94">
        <v>-158.43719999999996</v>
      </c>
      <c r="D5" s="94">
        <v>443070.84862270928</v>
      </c>
      <c r="E5" s="94">
        <v>3700585.041819687</v>
      </c>
      <c r="F5" s="94">
        <v>-3586372.4534963565</v>
      </c>
      <c r="G5" s="94">
        <v>-1950.0172409126403</v>
      </c>
      <c r="H5" s="94">
        <v>0</v>
      </c>
      <c r="I5" s="94">
        <v>-438942.57839262037</v>
      </c>
      <c r="J5" s="94">
        <v>232464.80822501407</v>
      </c>
    </row>
    <row r="6" spans="1:10" x14ac:dyDescent="0.25">
      <c r="A6" s="76" t="s">
        <v>61</v>
      </c>
      <c r="B6" s="94">
        <v>24119469.209197324</v>
      </c>
      <c r="C6" s="94">
        <v>-475.31159999999988</v>
      </c>
      <c r="D6" s="94">
        <v>10780149.4344509</v>
      </c>
      <c r="E6" s="94">
        <v>20855672.545624588</v>
      </c>
      <c r="F6" s="94">
        <v>-6407715.3485769704</v>
      </c>
      <c r="G6" s="94">
        <v>-425319.45362218411</v>
      </c>
      <c r="H6" s="94">
        <v>0</v>
      </c>
      <c r="I6" s="94">
        <v>-682842.65707900829</v>
      </c>
      <c r="J6" s="94">
        <v>48238938.418394633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12925230.885890532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192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196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329</v>
      </c>
      <c r="E9" t="s">
        <v>330</v>
      </c>
      <c r="G9" t="s">
        <v>328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260</v>
      </c>
      <c r="E10" t="s">
        <v>260</v>
      </c>
      <c r="G10" t="s">
        <v>260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309</v>
      </c>
      <c r="E11" t="s">
        <v>309</v>
      </c>
      <c r="G11" t="s">
        <v>309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7580670.950187711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3816109.5273284824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3531395.5295987274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817585.82822234533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1624295.7186815178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-1878991.6015824694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-95441.036993373244</v>
      </c>
      <c r="D19" t="s">
        <v>329</v>
      </c>
      <c r="E19" s="94" t="str">
        <f t="shared" si="3"/>
        <v>Træprodukter</v>
      </c>
      <c r="G19" t="s">
        <v>328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-234124.77189274365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-140948.11985151345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403361.09981940413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2581014.1877439953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73549.300726273679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153049.78603004583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-2992425.2998776729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-357518.33254056162</v>
      </c>
      <c r="D29" t="s">
        <v>329</v>
      </c>
      <c r="E29" s="94" t="str">
        <f t="shared" si="3"/>
        <v>Træprodukter</v>
      </c>
      <c r="G29" t="s">
        <v>328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-1820.6185782189057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2132620.7692239708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329</v>
      </c>
      <c r="E39" s="94" t="str">
        <f t="shared" si="3"/>
        <v>Træprodukter</v>
      </c>
      <c r="G39" t="s">
        <v>328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1364714.1997826013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339395.72967458674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1085668.0687409649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124173.21561020505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246625.11650187292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-379941.29349814425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-27168.989628195013</v>
      </c>
      <c r="D49" t="s">
        <v>329</v>
      </c>
      <c r="E49" s="94" t="str">
        <f t="shared" si="3"/>
        <v>Træprodukter</v>
      </c>
      <c r="G49" t="s">
        <v>328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-24037.453593468133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257180.52396402037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39709.74880330517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858556.5476584296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11170.456936242925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23244.76272469978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-593947.15361868346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-81424.245852058768</v>
      </c>
      <c r="D59" t="s">
        <v>329</v>
      </c>
      <c r="E59" s="94" t="str">
        <f t="shared" si="3"/>
        <v>Træprodukter</v>
      </c>
      <c r="G59" t="s">
        <v>328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-129.39866269373474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711567.98134110344</v>
      </c>
      <c r="C6" s="94">
        <v>989487.16104781546</v>
      </c>
      <c r="D6" s="94">
        <v>638614.48161594116</v>
      </c>
      <c r="E6" s="94">
        <v>29802893.251747362</v>
      </c>
      <c r="F6" s="94">
        <v>416975.9671256108</v>
      </c>
      <c r="G6" s="94">
        <v>887583.7004243203</v>
      </c>
      <c r="H6" s="94">
        <v>3294694.3063373538</v>
      </c>
      <c r="I6" s="94">
        <v>6125005.1879481785</v>
      </c>
      <c r="J6" s="94">
        <v>5395334.9719225094</v>
      </c>
      <c r="K6" s="94">
        <v>1349220.0574663728</v>
      </c>
      <c r="L6" s="94">
        <v>1169664.3920535347</v>
      </c>
      <c r="M6" s="94">
        <v>962189.31811065669</v>
      </c>
      <c r="N6" s="94">
        <v>3789970.9535080842</v>
      </c>
      <c r="O6" s="94">
        <v>55533201.730648853</v>
      </c>
    </row>
    <row r="7" spans="1:15" x14ac:dyDescent="0.25">
      <c r="A7" s="76">
        <v>2050</v>
      </c>
      <c r="B7" s="94">
        <v>891576.46333224361</v>
      </c>
      <c r="C7" s="94">
        <v>83716.319006591395</v>
      </c>
      <c r="D7" s="94">
        <v>1032360.8523594537</v>
      </c>
      <c r="E7" s="94">
        <v>45842153.116651788</v>
      </c>
      <c r="F7" s="94">
        <v>402131.52042787225</v>
      </c>
      <c r="G7" s="94">
        <v>515416.99573239626</v>
      </c>
      <c r="H7" s="94">
        <v>3114555.2534101894</v>
      </c>
      <c r="I7" s="94">
        <v>642399.17873835156</v>
      </c>
      <c r="J7" s="94">
        <v>683960.2634967803</v>
      </c>
      <c r="K7" s="94">
        <v>120867.78516734685</v>
      </c>
      <c r="L7" s="94">
        <v>1753629.766003873</v>
      </c>
      <c r="M7" s="94">
        <v>865274.96481497539</v>
      </c>
      <c r="N7" s="94">
        <v>3664592.462337262</v>
      </c>
      <c r="O7" s="94">
        <v>59612634.941479117</v>
      </c>
    </row>
    <row r="8" spans="1:15" x14ac:dyDescent="0.25">
      <c r="A8" s="76" t="s">
        <v>61</v>
      </c>
      <c r="B8" s="94">
        <v>1888514.3014364657</v>
      </c>
      <c r="C8" s="94">
        <v>2581486.1493051699</v>
      </c>
      <c r="D8" s="94">
        <v>1712704.2829926091</v>
      </c>
      <c r="E8" s="94">
        <v>93558052.907232463</v>
      </c>
      <c r="F8" s="94">
        <v>1099429.9243127995</v>
      </c>
      <c r="G8" s="94">
        <v>2315100.1475257971</v>
      </c>
      <c r="H8" s="94">
        <v>8672425.7171244882</v>
      </c>
      <c r="I8" s="94">
        <v>15879490.215844901</v>
      </c>
      <c r="J8" s="94">
        <v>14035216.365038091</v>
      </c>
      <c r="K8" s="94">
        <v>3476155.0914613195</v>
      </c>
      <c r="L8" s="94">
        <v>3133161.2967343521</v>
      </c>
      <c r="M8" s="94">
        <v>2505789.5114368787</v>
      </c>
      <c r="N8" s="94">
        <v>10065397.45774845</v>
      </c>
      <c r="O8" s="94">
        <v>160922923.36819378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4698307.4709618408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545577.01129372371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736385.00175039668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23233296.600181103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318920.65280775877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2537122.9309529141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2891451.8691946529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4171283.8969927602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488405.10801459721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1037736.7550566321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749561.48395824642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682243.34675238712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897193.5214277351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482048.93054039421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669028.68943321821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649292.34846099082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34445105.835390486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301754.85239496577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2337126.3206842514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2749867.8949207771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513235.88893477799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774671.670329666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90697.791194463221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62819.759709472717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386762.96576702269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1315903.5397993135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1426697.7169863379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165990.97004737973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225804.31636026004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6569596.6515662586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98055.31431785204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757571.37538443948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898519.08431343141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1224051.0749297491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150209.37360134395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311483.30240974069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239925.67708956901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205340.3536719332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272470.87062579964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160350.24819795735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222547.77389902543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215982.61635398451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11397047.281261299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100376.66803290648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777428.93272593827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914724.5674164847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170724.37456200234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257689.18202978774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30169.993972883625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20896.559297118682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128654.0299653736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437726.22620455944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2858758.2285455461</v>
      </c>
      <c r="C7" s="213">
        <v>789510.6267450063</v>
      </c>
      <c r="D7" s="213">
        <v>3648268.8552905526</v>
      </c>
    </row>
    <row r="8" spans="1:4" x14ac:dyDescent="0.25">
      <c r="A8" s="76">
        <v>2050</v>
      </c>
      <c r="B8" s="213">
        <v>2761065.1089266455</v>
      </c>
      <c r="C8" s="213">
        <v>814379.14075048931</v>
      </c>
      <c r="D8" s="213">
        <v>3575444.2496771347</v>
      </c>
    </row>
    <row r="9" spans="1:4" x14ac:dyDescent="0.25">
      <c r="A9" s="76" t="s">
        <v>61</v>
      </c>
      <c r="B9" s="213">
        <v>8630115.4022918455</v>
      </c>
      <c r="C9" s="213">
        <v>2431597.7026758408</v>
      </c>
      <c r="D9" s="213">
        <v>11061713.104967687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C7" sqref="C7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76.5</v>
      </c>
      <c r="D7" s="213">
        <v>956.59999999999991</v>
      </c>
    </row>
    <row r="8" spans="1:4" x14ac:dyDescent="0.25">
      <c r="A8" s="76">
        <v>2050</v>
      </c>
      <c r="B8" s="213">
        <v>880.09999999999991</v>
      </c>
      <c r="C8" s="213">
        <v>76.5</v>
      </c>
      <c r="D8" s="213">
        <v>956.59999999999991</v>
      </c>
    </row>
    <row r="9" spans="1:4" x14ac:dyDescent="0.25">
      <c r="A9" s="76" t="s">
        <v>61</v>
      </c>
      <c r="B9" s="213">
        <v>2640.2999999999997</v>
      </c>
      <c r="C9" s="213">
        <v>229.5</v>
      </c>
      <c r="D9" s="213">
        <v>2869.7999999999997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2360113.5481481482</v>
      </c>
      <c r="E6" s="213">
        <v>599146.45185185189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1967809.4</v>
      </c>
      <c r="E7" s="213">
        <v>866450.6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6906592.9481481481</v>
      </c>
      <c r="E8" s="213">
        <v>1971187.0518518519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180073.11350727544</v>
      </c>
      <c r="C7" s="213">
        <v>73607.866760578181</v>
      </c>
      <c r="D7" s="213">
        <v>444567.04710477311</v>
      </c>
      <c r="E7" s="213">
        <v>17671.724441322243</v>
      </c>
      <c r="F7" s="213">
        <v>17267.995311134342</v>
      </c>
      <c r="G7" s="213">
        <v>75497.99136321932</v>
      </c>
      <c r="H7" s="213">
        <v>839134.03680241993</v>
      </c>
      <c r="I7" s="213">
        <v>114170.9193097361</v>
      </c>
      <c r="J7" s="213">
        <v>43929.095606920775</v>
      </c>
      <c r="K7" s="213">
        <v>214057.37275692378</v>
      </c>
      <c r="L7" s="213">
        <v>45628.198349496306</v>
      </c>
      <c r="M7" s="213">
        <v>181436.99973857668</v>
      </c>
      <c r="N7" s="213">
        <v>46716.554233256022</v>
      </c>
      <c r="O7" s="213">
        <v>66354.632862515791</v>
      </c>
      <c r="P7" s="213">
        <v>2360113.5481481478</v>
      </c>
    </row>
    <row r="8" spans="1:16" x14ac:dyDescent="0.25">
      <c r="A8" s="76">
        <v>2050</v>
      </c>
      <c r="B8" s="213">
        <v>331489.12</v>
      </c>
      <c r="C8" s="213">
        <v>174510.60559841484</v>
      </c>
      <c r="D8" s="213">
        <v>682477.6</v>
      </c>
      <c r="E8" s="213">
        <v>25022.097261734216</v>
      </c>
      <c r="F8" s="213">
        <v>14794.037636208201</v>
      </c>
      <c r="G8" s="213">
        <v>105245.26582749051</v>
      </c>
      <c r="H8" s="213">
        <v>111888.38375016491</v>
      </c>
      <c r="I8" s="213">
        <v>15144.956432253495</v>
      </c>
      <c r="J8" s="213">
        <v>5821.7212903924656</v>
      </c>
      <c r="K8" s="213">
        <v>292490.40000000002</v>
      </c>
      <c r="L8" s="213">
        <v>64726.236910775297</v>
      </c>
      <c r="M8" s="213">
        <v>32604.873805524119</v>
      </c>
      <c r="N8" s="213">
        <v>103185.75676537695</v>
      </c>
      <c r="O8" s="213">
        <v>8408.3447216651639</v>
      </c>
      <c r="P8" s="213">
        <v>1967809.4000000004</v>
      </c>
    </row>
    <row r="9" spans="1:16" x14ac:dyDescent="0.25">
      <c r="A9" s="76" t="s">
        <v>61</v>
      </c>
      <c r="B9" s="213">
        <v>588498.72451118915</v>
      </c>
      <c r="C9" s="213">
        <v>253231.05199083569</v>
      </c>
      <c r="D9" s="213">
        <v>1415555.6215910339</v>
      </c>
      <c r="E9" s="213">
        <v>55431.683110421189</v>
      </c>
      <c r="F9" s="213">
        <v>51017.527355876664</v>
      </c>
      <c r="G9" s="213">
        <v>235866.72472762078</v>
      </c>
      <c r="H9" s="213">
        <v>2289042.4742541444</v>
      </c>
      <c r="I9" s="213">
        <v>309703.20139322814</v>
      </c>
      <c r="J9" s="213">
        <v>119723.41798240163</v>
      </c>
      <c r="K9" s="213">
        <v>667939.29051772854</v>
      </c>
      <c r="L9" s="213">
        <v>144067.44052484853</v>
      </c>
      <c r="M9" s="213">
        <v>435184.34684670815</v>
      </c>
      <c r="N9" s="213">
        <v>158485.46454396786</v>
      </c>
      <c r="O9" s="213">
        <v>182845.97879814336</v>
      </c>
      <c r="P9" s="213">
        <v>6906592.9481481481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66892.145975308638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73747.854024691362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52069.673876543202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59921.4372345679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8725.0625185185199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131914.93748148147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6791.6965925925906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105199.41451851852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10159.387358024691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11200.612641975309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7908.1927901234558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9100.6960987654329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1325.1374814814808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20034.862518518519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1031.5034074074065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15977.385481481482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7019935.8896729527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791373.67349799909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14365153.861353351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291855.95871414396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140119.4403069797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553518.20843543066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3880162.6411323692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1360029.4887452812</v>
      </c>
      <c r="J16" s="74">
        <f t="shared" si="2"/>
        <v>1360029.4887452812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2379805.8031627773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121069.71545865215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467329.10167039739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148988.75846218187</v>
      </c>
      <c r="J17" s="74">
        <f t="shared" si="2"/>
        <v>148988.75846218187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1074244.3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143784.0142759982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632649.66281439213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362862.00504546956</v>
      </c>
      <c r="J18" s="74">
        <f t="shared" si="2"/>
        <v>362862.00504546956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93364.229814031074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285623.05173795577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14172615.827237366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14172615.827237366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11928.206902902208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247510.29323522083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247510.29323522083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50171.146455460723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2130813.7174496464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2130813.7174496464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30855.4450029535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2507120.0387474457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2507120.0387474457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74922.962243622984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3334821.0494636595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3334821.0494636595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49850.106336440978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423227.40279638395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423227.40279638395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28800.386873616728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858134.70030019432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858134.70030019432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41596.560342098521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594367.45880212216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106035.94638659338</v>
      </c>
      <c r="J26" s="74">
        <f t="shared" si="2"/>
        <v>106035.94638659338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11437.918624561291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571895.93122806458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571895.93122806458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31145.785633214087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759653.30812717287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759653.30812717287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72877.440134040429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1004979.8994484176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1004979.8994484176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Bælgsæd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0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0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0</v>
      </c>
      <c r="J31" s="74">
        <f t="shared" si="2"/>
        <v>0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Raps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0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0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0</v>
      </c>
      <c r="J32" s="74">
        <f t="shared" si="2"/>
        <v>0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0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0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0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0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0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0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0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0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0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0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0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0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0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0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0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70773.67631420336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332402.72554491891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116509.93803405669</v>
      </c>
      <c r="J58" s="74">
        <f t="shared" si="2"/>
        <v>116509.93803405669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15480.15715245056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34059.441766821721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10858.459112894554</v>
      </c>
      <c r="J59" s="74">
        <f t="shared" si="2"/>
        <v>10858.459112894554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18384.441795130875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44490.349144216721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25517.846992640829</v>
      </c>
      <c r="J60" s="74">
        <f t="shared" si="2"/>
        <v>25517.846992640829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36520.195909571652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1413463.0544056976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1413463.0544056976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1525.1585972954053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18038.813309511406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18038.813309511406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6414.9587591488944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155295.96908477385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155295.96908477385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3945.2239219777639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182721.57384792177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182721.57384792177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9579.7634070966851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353908.07347739505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353908.07347739505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6373.9100833851826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30845.263066525917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30845.263066525917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3682.4610776195564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62541.769276712883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62541.769276712883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5318.5991943376657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43318.132294364288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7728.0125038974802</v>
      </c>
      <c r="J68" s="74">
        <f t="shared" si="2"/>
        <v>7728.0125038974802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1462.4695955911445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41680.383474347618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41680.383474347618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3982.3473146209913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55364.340715462567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55364.340715462567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9318.2198526644916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128498.25176824334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128498.25176824334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83959.75199188129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394333.76718026889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157339.56580605835</v>
      </c>
      <c r="J72" s="74">
        <f t="shared" ref="J72:J139" si="6">IF(I72&lt;&gt;0,I72,H72)</f>
        <v>157339.56580605835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248745.6103160124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547290.09181729052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198620.39669998465</v>
      </c>
      <c r="J73" s="74">
        <f t="shared" si="6"/>
        <v>198620.39669998465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219481.42086706977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531145.03849830886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346790.28977475752</v>
      </c>
      <c r="J74" s="74">
        <f t="shared" si="6"/>
        <v>346790.28977475752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512123.31535649608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19821015.948231682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19821015.948231682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18776.293034162631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222076.60586155849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222076.60586155849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78974.832963235996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1911855.349162224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1911855.349162224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48569.821247314576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2249493.1480017449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2249493.1480017449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11364.600536362441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419845.84699499852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419845.84699499852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130950.74461627769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633709.93842155254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633709.93842155254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4368.5524745680859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74194.13136452355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74194.13136452355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6309.5248481700473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51388.875548018324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10436.209583697455</v>
      </c>
      <c r="J82" s="74">
        <f t="shared" si="6"/>
        <v>10436.209583697455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11101.275121357427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316386.3409586866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316386.3409586866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77429.401129434642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1076457.5278970182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1076457.5278970182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11054.327944788796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152439.18235863751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152439.18235863751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11196.260693157685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94182.944950842444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33011.910663785355</v>
      </c>
      <c r="J100" s="74">
        <f t="shared" si="6"/>
        <v>33011.910663785355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959.79052447193897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4445.7497093540214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1417.345350980137</v>
      </c>
      <c r="J101" s="74">
        <f t="shared" si="6"/>
        <v>1417.345350980137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1027.7273757818732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5426.4005441282898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3112.3617024670689</v>
      </c>
      <c r="J102" s="74">
        <f t="shared" si="6"/>
        <v>3112.3617024670689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9484.230989471238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564729.05003707542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564729.05003707542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44.358105077588014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1104.5168164319416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1104.5168164319416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700.29950715558721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35690.81996151046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35690.81996151046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18.37258126009214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1791.4089381482079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1791.4089381482079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2371.6241464994846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126673.18891283049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126673.18891283049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40.402656114127915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411.62226049073524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411.62226049073524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714.55739207378303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25549.094025104845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25549.094025104845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1763.7383660176956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30242.17431384448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5395.2441821422535</v>
      </c>
      <c r="J110" s="74">
        <f t="shared" si="6"/>
        <v>5395.2441821422535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202.64130113199909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12158.478067919947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12158.478067919947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332.81173876457098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9740.8313784752481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9740.8313784752481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30452.01387923324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503919.92567355168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503919.92567355168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1431.5708465431917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8068.3905539512916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2828.0384342047182</v>
      </c>
      <c r="J142" s="74">
        <f t="shared" si="10"/>
        <v>2828.0384342047182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122.72026985421287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324.01096527988705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103.29763601846187</v>
      </c>
      <c r="J143" s="74">
        <f t="shared" si="10"/>
        <v>103.29763601846187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131.4067785383736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381.60528487543701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218.87320415196874</v>
      </c>
      <c r="J144" s="74">
        <f t="shared" si="10"/>
        <v>218.87320415196874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1212.6681361310182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56321.546968272574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56321.546968272574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5.6716944859797733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80.498359839510925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80.498359839510925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89.54135543710359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2601.184903195996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2601.184903195996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2.3491460612173207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130.55978793389087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130.55978793389087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303.23945468341958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13443.199375447171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13443.199375447171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5.1659447918395278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29.99946795737883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29.99946795737883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91.364390193228076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1862.0451348584029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1862.0451348584029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225.51425827943592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2204.0818157113808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393.21113190391725</v>
      </c>
      <c r="J152" s="74">
        <f t="shared" si="10"/>
        <v>393.21113190391725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25.910023619174421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886.12280777576507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886.12280777576507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42.553812889858399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709.92214674788158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709.92214674788158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3893.6406075896812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64431.964774394051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64431.964774394051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8725.0625185185199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144382.33455644446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144382.33455644446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5659.6634285023883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55543.93688732243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19468.614868607579</v>
      </c>
      <c r="J184" s="74">
        <f t="shared" si="10"/>
        <v>19468.614868607579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325.87901868990201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1761.0502170002303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561.43879010015519</v>
      </c>
      <c r="J185" s="74">
        <f t="shared" si="10"/>
        <v>561.43879010015519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421.99857265679589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2599.5112075658631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1490.973447641361</v>
      </c>
      <c r="J186" s="74">
        <f t="shared" si="10"/>
        <v>1490.973447641361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9732.6192199682846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676105.59197275678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676105.59197275678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11.31234505051532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328.62362371747008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328.62362371747008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598.76574080415071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35602.167418036428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35602.167418036428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6.4750902601840021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736.5753421943042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736.5753421943042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805.2408623097682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50177.779093970894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50177.779093970894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23.075756148004398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274.27843757518031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274.27843757518031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408.11554781624284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17024.262930563389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17024.262930563389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1298.4872253048338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25975.464424506878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4634.0574543480388</v>
      </c>
      <c r="J194" s="74">
        <f t="shared" si="10"/>
        <v>4634.0574543480388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115.73747125009459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8101.6229875066201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8101.6229875066201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273.20106069089286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9328.8167065182915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9328.8167065182915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26486.154998052578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511341.70839240309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511341.70839240309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723.65313630488879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4758.2943593964401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1667.8220073323796</v>
      </c>
      <c r="J226" s="74">
        <f t="shared" si="15"/>
        <v>1667.8220073323796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41.667384803005618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128.34721206100212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40.918255911522166</v>
      </c>
      <c r="J227" s="74">
        <f t="shared" si="15"/>
        <v>40.918255911522166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53.957376525494915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182.8075916683768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104.85096752478921</v>
      </c>
      <c r="J228" s="74">
        <f t="shared" si="15"/>
        <v>104.85096752478921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1244.4274314126412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67429.35014819121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67429.35014819121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1.4464135682595993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23.950439070026576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23.950439070026576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76.559094320472624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2594.7238115773866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2594.7238115773866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0.82791484579133123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53.682394023125802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53.682394023125802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102.95931601810993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5325.1196592325769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5325.1196592325769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2.9505011243272654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19.989704127339706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19.989704127339706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52.182271946542372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1240.7463815842973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1240.7463815842973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166.02654290562981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1893.1194628589992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337.7350339328782</v>
      </c>
      <c r="J236" s="74">
        <f t="shared" si="15"/>
        <v>337.7350339328782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14.798368333413432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590.45489650319587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590.45489650319587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34.931901323874534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679.89407942565549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679.89407942565549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3386.5598856061138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65380.925151511634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65380.925151511634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6791.6965925925906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131120.49441659256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131120.49441659256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170169.83214296759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1192890.5233222027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418118.1147833335</v>
      </c>
      <c r="J268" s="74">
        <f t="shared" si="15"/>
        <v>418118.1147833335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37220.840874287176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143672.44577474851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45804.07949064998</v>
      </c>
      <c r="J269" s="74">
        <f t="shared" si="15"/>
        <v>45804.07949064998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44203.968724622173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194497.46238833759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111555.79987907718</v>
      </c>
      <c r="J270" s="74">
        <f t="shared" si="15"/>
        <v>111555.79987907718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87809.987150729692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4357131.5624192078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4357131.5624192078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3667.1259147389733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76092.862730833687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76092.862730833687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15424.272301499061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655082.7183287458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655082.7183287458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9485.9858570699034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770771.74635654548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770771.74635654548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23033.800359863864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1025234.4540175407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1025234.4540175407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15325.573934702474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130114.12270562403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130114.12270562403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8854.1929158733292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263819.03193194506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263819.03193194506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12788.160503604195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182728.24480605681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32598.962279363204</v>
      </c>
      <c r="J278" s="74">
        <f t="shared" si="20"/>
        <v>32598.962279363204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3516.3950575504314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175819.75287752156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175819.75287752156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9575.2461841246914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233542.58985669981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233542.58985669981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22404.939107013139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308964.11028571118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308964.11028571118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20"/>
        <v>0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Bælgsæd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0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0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0</v>
      </c>
      <c r="J283" s="74">
        <f t="shared" si="20"/>
        <v>0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Raps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0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0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0</v>
      </c>
      <c r="J284" s="74">
        <f t="shared" si="20"/>
        <v>0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0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0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0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0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0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0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0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0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0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0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0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0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20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0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0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0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0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0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0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21758.172423217798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102191.60842012704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35819.014254805305</v>
      </c>
      <c r="J310" s="74">
        <f t="shared" si="20"/>
        <v>35819.014254805305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4759.1130771022581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10471.000592240389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3338.2500095082087</v>
      </c>
      <c r="J311" s="74">
        <f t="shared" si="20"/>
        <v>3338.2500095082087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5651.9863784833815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13677.807035929785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7845.0314248228915</v>
      </c>
      <c r="J312" s="74">
        <f t="shared" si="20"/>
        <v>7845.0314248228915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11227.517926332235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434545.36281359236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434545.36281359236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468.88427252784516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5545.7287333230888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5545.7287333230888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1972.1708131951523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47743.124957592416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47743.124957592416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1212.8925161595512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56174.664314095215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56174.664314095215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2945.1365937226469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108803.06472287388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108803.06472287388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1959.5510905592043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9482.8555925431574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9482.8555925431574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1132.1105139843492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19227.41152422981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19227.41152422981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1635.1135668949571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13317.428747493015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2375.847028238089</v>
      </c>
      <c r="J320" s="74">
        <f t="shared" si="20"/>
        <v>2375.847028238089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449.61159687842485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12813.930511035109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12813.930511035109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1224.3054767422425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17020.832237636056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17020.832237636056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2864.7294416587538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39504.619000474224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39504.619000474224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27928.63175828362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131172.40477913068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52337.920136192792</v>
      </c>
      <c r="J324" s="74">
        <f t="shared" si="20"/>
        <v>52337.920136192792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82743.509683987591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182052.2700067095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66069.703489053689</v>
      </c>
      <c r="J325" s="74">
        <f t="shared" si="20"/>
        <v>66069.703489053689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73008.979132930224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176681.72950169115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115357.39530774491</v>
      </c>
      <c r="J326" s="74">
        <f t="shared" si="20"/>
        <v>115357.39530774491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170354.28464350387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6593324.0911283158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6593324.0911283158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6245.8042275715852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73872.249501602928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73872.249501602928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26270.432864254519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635965.48054381739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635965.48054381739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16156.415663460722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748278.36293987604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748278.36293987604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3780.3558958910544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139658.82196867198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139658.82196867198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43559.860982137143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210799.23525085626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210799.23525085626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1453.1688158243799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24680.165488171886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24680.165488171886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2098.8198734951161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17094.154611029004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3471.5330560235702</v>
      </c>
      <c r="J334" s="74">
        <f t="shared" si="20"/>
        <v>3471.5330560235702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3692.7625148507746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105243.73167324706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105243.73167324706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25756.355635942306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358076.16371919797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358076.16371919797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3677.145860735322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50707.841419540098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50707.841419540098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2230.830510672768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18765.746255779322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6577.5511612892114</v>
      </c>
      <c r="J352" s="74">
        <f t="shared" si="25"/>
        <v>6577.5511612892114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60.325222950477325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279.42643270661097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89.083682444917784</v>
      </c>
      <c r="J353" s="74">
        <f t="shared" si="25"/>
        <v>89.083682444917784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243.66299910145614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1286.5406352556884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737.90715765909226</v>
      </c>
      <c r="J354" s="74">
        <f t="shared" si="25"/>
        <v>737.90715765909226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716.47131301367313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42661.567862086158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42661.567862086158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13.56919075168542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337.87284971696698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337.87284971696698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23.068866162854491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1175.7065948522729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1175.7065948522729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64.449558610774517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6284.1205446636968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6284.1205446636968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68.713175144526659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3670.108110819458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3670.108110819458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14.822844383576701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151.01513857987945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151.01513857987945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105.84229815168821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3784.405363805176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3784.405363805176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768.41006535428994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13175.645316049056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2350.5526752036908</v>
      </c>
      <c r="J362" s="74">
        <f t="shared" si="25"/>
        <v>2350.5526752036908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23.227312797648128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1393.6387678588878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1393.6387678588878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49.297032923373933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1442.8399880011884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1442.8399880011884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4624.9645652760382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76533.913626187874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76533.913626187874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285.23736720509544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1607.6092110626062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563.48048668022147</v>
      </c>
      <c r="J394" s="74">
        <f t="shared" si="25"/>
        <v>563.48048668022147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7.7132743559551313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20.364895485566976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6.4925134851684581</v>
      </c>
      <c r="J395" s="74">
        <f t="shared" si="25"/>
        <v>6.4925134851684581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31.155120040041375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90.474468596280161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51.89245961852545</v>
      </c>
      <c r="J396" s="74">
        <f t="shared" si="25"/>
        <v>51.89245961852545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91.609107022821874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4254.722681482187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4254.722681482187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1.7349772771160648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24.624532494108305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24.624532494108305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2.9496201603926053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85.686746575610925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85.686746575610925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8.2406181588953551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457.99338620605954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457.99338620605954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8.7857706252262986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389.49043192670729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389.49043192670729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1.8952713288770544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11.006143850201674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11.006143850201674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13.533156516950996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275.81148627349637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275.81148627349637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98.25007454710375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960.25503821239181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171.31077793955066</v>
      </c>
      <c r="J404" s="74">
        <f t="shared" si="25"/>
        <v>171.31077793955066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2.96987938705049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101.56987503712675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101.56987503712675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6.3031932792803271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105.15571226896935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105.15571226896935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591.35497282505401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9785.7420903089933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9785.7420903089933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1325.1374814814808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21928.375043555545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21928.375043555545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1229.7001774151138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12068.277541151925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4230.0323085269065</v>
      </c>
      <c r="J436" s="74">
        <f t="shared" si="29"/>
        <v>4230.0323085269065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22.335410277576099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120.70055714002125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38.480432931969773</v>
      </c>
      <c r="J437" s="74">
        <f t="shared" si="29"/>
        <v>38.480432931969773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109.10325291425241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672.07603795179477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385.47536339357953</v>
      </c>
      <c r="J438" s="74">
        <f t="shared" si="29"/>
        <v>385.47536339357953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801.75462298516175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55696.290149533219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55696.290149533219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3.7735374359053933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109.62126251305168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109.62126251305168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21.50871323094557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1278.8921563318527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1278.8921563318527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24.769124387034655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2817.6172899734825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2817.6172899734825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25.441049088005123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1585.3335328699513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1585.3335328699513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9.2319327042333263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109.73075212251732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109.73075212251732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65.920477103599382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2749.82793653615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2749.82793653615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616.89552694179065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12340.628002676012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2201.5844742003133</v>
      </c>
      <c r="J446" s="74">
        <f t="shared" si="29"/>
        <v>2201.5844742003133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14.466386011962104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1012.6470208373472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1012.6470208373472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44.128542424612569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1506.8282779136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1506.8282779136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4022.6412881001361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77661.11270806122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77661.11270806122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157.2313267993388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1033.8557216098363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362.37508541318959</v>
      </c>
      <c r="J478" s="74">
        <f t="shared" si="33"/>
        <v>362.37508541318959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2.8558393802405542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8.7967849261673745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2.8044948622371098</v>
      </c>
      <c r="J479" s="74">
        <f t="shared" si="33"/>
        <v>2.8044948622371098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13.950107130903383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47.262962959500669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27.108105025428031</v>
      </c>
      <c r="J480" s="74">
        <f t="shared" si="33"/>
        <v>27.108105025428031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102.51356017891004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5554.7013588366472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5554.7013588366472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0.48249021076142495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7.9893141548930551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7.9893141548930551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2.7501366440044395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93.207019997122003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93.207019997122003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3.1670177516097451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205.35094361986913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205.35094361986913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3.2529310613605098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168.24361131082361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168.24361131082361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1.1804088953292959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7.9972938740338861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7.9972938740338861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8.4286920247759696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200.41038347166389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200.41038347166389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78.877196229672492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899.39808867198917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160.45381707610923</v>
      </c>
      <c r="J488" s="74">
        <f t="shared" ref="J488:J505" si="35">IF(I488&lt;&gt;0,I488,H488)</f>
        <v>160.45381707610923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1.8496940217032787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73.802791465960794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73.802791465960794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5.6423422575473294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109.81924686640899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109.81924686640899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514.34100651696951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9929.8674718166149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9929.8674718166149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1031.5034074074065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19914.204783407389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19914.204783407389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</vt:i4>
      </vt:variant>
    </vt:vector>
  </HeadingPairs>
  <TitlesOfParts>
    <vt:vector size="52" baseType="lpstr">
      <vt:lpstr>Overblik</vt:lpstr>
      <vt:lpstr>Resume</vt:lpstr>
      <vt:lpstr>Farvekoder</vt:lpstr>
      <vt:lpstr>Arealanvendelse</vt:lpstr>
      <vt:lpstr>Landbrug</vt:lpstr>
      <vt:lpstr>Landbrugsproduktivititet</vt:lpstr>
      <vt:lpstr>Græsprotein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2023-12-18T12:09:23Z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